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nicov\MEGASYNC\MEGAsync\Fiducie\Instrumenten\"/>
    </mc:Choice>
  </mc:AlternateContent>
  <xr:revisionPtr revIDLastSave="0" documentId="13_ncr:1_{B7EC70A9-9394-4103-A42D-8893614C7D08}" xr6:coauthVersionLast="31" xr6:coauthVersionMax="31" xr10:uidLastSave="{00000000-0000-0000-0000-000000000000}"/>
  <bookViews>
    <workbookView xWindow="0" yWindow="0" windowWidth="24000" windowHeight="8388" xr2:uid="{00000000-000D-0000-FFFF-FFFF00000000}"/>
  </bookViews>
  <sheets>
    <sheet name="Fiscale Balans" sheetId="1" r:id="rId1"/>
    <sheet name="Overzicht activa" sheetId="7" state="hidden" r:id="rId2"/>
    <sheet name="Aangifte" sheetId="2" r:id="rId3"/>
    <sheet name="BTW" sheetId="6" state="hidden" r:id="rId4"/>
  </sheets>
  <definedNames>
    <definedName name="_xlnm.Print_Area" localSheetId="0">'Fiscale Balans'!$A$1:$C$61</definedName>
    <definedName name="BTW_hoog">BTW!$B$14</definedName>
    <definedName name="BTW_laag">BTW!$B$15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6" l="1"/>
  <c r="H14" i="6"/>
  <c r="B33" i="1" l="1"/>
  <c r="B29" i="1"/>
  <c r="E10" i="7" l="1"/>
  <c r="H10" i="7" s="1"/>
  <c r="F10" i="7"/>
  <c r="G10" i="7" l="1"/>
  <c r="B50" i="1"/>
  <c r="B56" i="1"/>
  <c r="B19" i="2" l="1"/>
  <c r="B58" i="1" l="1"/>
  <c r="C32" i="2" l="1"/>
  <c r="B51" i="2"/>
  <c r="B50" i="2"/>
  <c r="B49" i="2"/>
  <c r="B57" i="1" l="1"/>
  <c r="C44" i="2" l="1"/>
  <c r="C67" i="1"/>
  <c r="C66" i="1"/>
  <c r="B53" i="1" s="1"/>
  <c r="D40" i="6" l="1"/>
  <c r="C41" i="1" l="1"/>
  <c r="C24" i="1"/>
  <c r="C34" i="1" l="1"/>
  <c r="C35" i="1" s="1"/>
  <c r="C10" i="1"/>
  <c r="C12" i="1" l="1"/>
  <c r="C17" i="1" s="1"/>
  <c r="B41" i="1"/>
  <c r="F14" i="6" l="1"/>
  <c r="L47" i="6"/>
  <c r="L43" i="6"/>
  <c r="K43" i="6"/>
  <c r="L42" i="6"/>
  <c r="K42" i="6"/>
  <c r="L41" i="6"/>
  <c r="K41" i="6"/>
  <c r="L40" i="6"/>
  <c r="K40" i="6"/>
  <c r="L39" i="6"/>
  <c r="K39" i="6"/>
  <c r="L38" i="6"/>
  <c r="K38" i="6"/>
  <c r="L37" i="6"/>
  <c r="K37" i="6"/>
  <c r="L36" i="6"/>
  <c r="K36" i="6"/>
  <c r="L35" i="6"/>
  <c r="K35" i="6"/>
  <c r="K34" i="6"/>
  <c r="J34" i="6"/>
  <c r="H34" i="6"/>
  <c r="F34" i="6"/>
  <c r="D34" i="6"/>
  <c r="L28" i="6"/>
  <c r="L24" i="6"/>
  <c r="K24" i="6"/>
  <c r="L23" i="6"/>
  <c r="K23" i="6"/>
  <c r="L22" i="6"/>
  <c r="K22" i="6"/>
  <c r="L21" i="6"/>
  <c r="K21" i="6"/>
  <c r="L20" i="6"/>
  <c r="K20" i="6"/>
  <c r="L19" i="6"/>
  <c r="K19" i="6"/>
  <c r="L18" i="6"/>
  <c r="K18" i="6"/>
  <c r="L17" i="6"/>
  <c r="K17" i="6"/>
  <c r="L16" i="6"/>
  <c r="K16" i="6"/>
  <c r="K15" i="6"/>
  <c r="J15" i="6"/>
  <c r="J25" i="6" s="1"/>
  <c r="J27" i="6" s="1"/>
  <c r="J29" i="6" s="1"/>
  <c r="H15" i="6"/>
  <c r="F15" i="6"/>
  <c r="L15" i="6" s="1"/>
  <c r="D15" i="6"/>
  <c r="O16" i="6" l="1"/>
  <c r="O18" i="6"/>
  <c r="O20" i="6"/>
  <c r="O22" i="6"/>
  <c r="O24" i="6"/>
  <c r="N17" i="6"/>
  <c r="N19" i="6"/>
  <c r="N21" i="6"/>
  <c r="N23" i="6"/>
  <c r="O28" i="6"/>
  <c r="N15" i="6"/>
  <c r="O17" i="6"/>
  <c r="O19" i="6"/>
  <c r="O21" i="6"/>
  <c r="O23" i="6"/>
  <c r="N16" i="6"/>
  <c r="N18" i="6"/>
  <c r="N20" i="6"/>
  <c r="N22" i="6"/>
  <c r="N24" i="6"/>
  <c r="L34" i="6"/>
  <c r="O15" i="6" s="1"/>
  <c r="H25" i="6"/>
  <c r="H27" i="6" s="1"/>
  <c r="H29" i="6" s="1"/>
  <c r="K14" i="6"/>
  <c r="D14" i="6"/>
  <c r="D25" i="6" s="1"/>
  <c r="D27" i="6" s="1"/>
  <c r="F25" i="6"/>
  <c r="F27" i="6" s="1"/>
  <c r="F29" i="6" s="1"/>
  <c r="L14" i="6" l="1"/>
  <c r="L27" i="6"/>
  <c r="D29" i="6"/>
  <c r="L29" i="6" s="1"/>
  <c r="L25" i="6"/>
  <c r="B10" i="1" l="1"/>
  <c r="J44" i="6" l="1"/>
  <c r="F44" i="6"/>
  <c r="H44" i="6"/>
  <c r="B24" i="1"/>
  <c r="B34" i="1" l="1"/>
  <c r="B35" i="1" s="1"/>
  <c r="H46" i="6"/>
  <c r="H48" i="6" s="1"/>
  <c r="L45" i="6"/>
  <c r="O26" i="6" s="1"/>
  <c r="F46" i="6"/>
  <c r="F48" i="6" s="1"/>
  <c r="J46" i="6"/>
  <c r="J48" i="6" s="1"/>
  <c r="K33" i="6"/>
  <c r="N14" i="6" s="1"/>
  <c r="D44" i="6"/>
  <c r="L33" i="6"/>
  <c r="O14" i="6" s="1"/>
  <c r="B43" i="1" l="1"/>
  <c r="B45" i="1" s="1"/>
  <c r="D46" i="6"/>
  <c r="L44" i="6"/>
  <c r="O25" i="6" s="1"/>
  <c r="B48" i="1" l="1"/>
  <c r="D48" i="6"/>
  <c r="L48" i="6" s="1"/>
  <c r="O29" i="6" s="1"/>
  <c r="L46" i="6"/>
  <c r="O27" i="6" s="1"/>
  <c r="B51" i="1" l="1"/>
  <c r="A13" i="1"/>
  <c r="B20" i="2"/>
  <c r="C40" i="2" l="1"/>
  <c r="B12" i="1"/>
  <c r="B19" i="1" s="1"/>
  <c r="B54" i="1"/>
  <c r="B17" i="1" l="1"/>
  <c r="B46" i="1"/>
  <c r="E19" i="1"/>
  <c r="E45" i="1"/>
  <c r="B39" i="2"/>
  <c r="B59" i="1"/>
  <c r="B61" i="1" s="1"/>
  <c r="B21" i="2" s="1"/>
  <c r="B22" i="2" s="1"/>
  <c r="C45" i="2" l="1"/>
  <c r="B38" i="2"/>
  <c r="C38" i="2" s="1"/>
  <c r="B25" i="2"/>
  <c r="B26" i="2" s="1"/>
  <c r="C26" i="2" s="1"/>
  <c r="B40" i="2"/>
  <c r="C39" i="2"/>
  <c r="C34" i="2" l="1"/>
  <c r="B29" i="2"/>
  <c r="C29" i="2" s="1"/>
  <c r="C25" i="2"/>
  <c r="B27" i="2"/>
  <c r="C27" i="2" s="1"/>
  <c r="B28" i="2" l="1"/>
  <c r="C28" i="2" s="1"/>
  <c r="C30" i="2" s="1"/>
  <c r="C35" i="2" s="1"/>
  <c r="C46" i="2" s="1"/>
  <c r="B30" i="2" l="1"/>
  <c r="C43" i="2"/>
  <c r="B45" i="2"/>
</calcChain>
</file>

<file path=xl/sharedStrings.xml><?xml version="1.0" encoding="utf-8"?>
<sst xmlns="http://schemas.openxmlformats.org/spreadsheetml/2006/main" count="217" uniqueCount="165">
  <si>
    <t>Balans per</t>
  </si>
  <si>
    <t>Debiteuren</t>
  </si>
  <si>
    <t>Activa</t>
  </si>
  <si>
    <t>Ondernemingsvermogen</t>
  </si>
  <si>
    <t>Crediteuren</t>
  </si>
  <si>
    <t>Verschuldigde BTW</t>
  </si>
  <si>
    <t>Passiva</t>
  </si>
  <si>
    <t>Resultatenrekening</t>
  </si>
  <si>
    <t>Omzet</t>
  </si>
  <si>
    <t>Inkoop</t>
  </si>
  <si>
    <t>Zelfstandigenaftrek</t>
  </si>
  <si>
    <t>MKB-vrijstelling</t>
  </si>
  <si>
    <t>Grondslag voor IB</t>
  </si>
  <si>
    <t>2016</t>
  </si>
  <si>
    <t>Startersaftrek</t>
  </si>
  <si>
    <t>Ingehouden loonheffing hierover</t>
  </si>
  <si>
    <t>Hypotheekrente-aftrek</t>
  </si>
  <si>
    <t>Verzamelinkomen</t>
  </si>
  <si>
    <t>Loon</t>
  </si>
  <si>
    <t>Uitkering</t>
  </si>
  <si>
    <t>Winst uit onderneming</t>
  </si>
  <si>
    <t>deze cijfers en berekening zijn ter indicatie; hieraan kunnen geen rechten ontleend worden!</t>
  </si>
  <si>
    <t>Totaal verzamelinkomen</t>
  </si>
  <si>
    <t>Grondslag</t>
  </si>
  <si>
    <t>Belasting</t>
  </si>
  <si>
    <t>Schijf 1</t>
  </si>
  <si>
    <t>Schijf 2</t>
  </si>
  <si>
    <t>Schijf 3</t>
  </si>
  <si>
    <t>Al ingehouden loonheffing</t>
  </si>
  <si>
    <t>Nog te betalen inkomstenbelasting</t>
  </si>
  <si>
    <t>Brutoloon</t>
  </si>
  <si>
    <t>Andere inkomsten</t>
  </si>
  <si>
    <t>Bankrekening</t>
  </si>
  <si>
    <t>Algemene Heffingskorting</t>
  </si>
  <si>
    <t>Arbeidskorting</t>
  </si>
  <si>
    <t>Korting</t>
  </si>
  <si>
    <t>Heffingskortingen</t>
  </si>
  <si>
    <t>Personeelskosten</t>
  </si>
  <si>
    <t>Afschrijvingen</t>
  </si>
  <si>
    <t>Waardeveranderingen van activa</t>
  </si>
  <si>
    <t>Overige lasten: Auto en transport</t>
  </si>
  <si>
    <t>Overige lasten: Huisvesting</t>
  </si>
  <si>
    <t>Overige lasten: Onderhoud van activa</t>
  </si>
  <si>
    <t>Overige lasten: Verkoopkosten</t>
  </si>
  <si>
    <t>Overige lasten: Andere kosten</t>
  </si>
  <si>
    <t>Bedrijfslasten</t>
  </si>
  <si>
    <t>Buitengewone lasten</t>
  </si>
  <si>
    <t>Saldo financiële en buitengewone baten en lasten</t>
  </si>
  <si>
    <t>Vermogensverschil op Balans</t>
  </si>
  <si>
    <t>Vermogensverschil in winst- en verliesrekening</t>
  </si>
  <si>
    <t>Fiscale winst</t>
  </si>
  <si>
    <t>Totale winst uit onderneming</t>
  </si>
  <si>
    <t>Laptop</t>
  </si>
  <si>
    <t>Materiële vaste activa</t>
  </si>
  <si>
    <t>totaal</t>
  </si>
  <si>
    <t>niet-aftrekbaar</t>
  </si>
  <si>
    <t>niet-aftrekbare kosten</t>
  </si>
  <si>
    <t>Onderneming</t>
  </si>
  <si>
    <t>BTW-nummer</t>
  </si>
  <si>
    <t>Gegevens in de Aangifte</t>
  </si>
  <si>
    <t>Jaar</t>
  </si>
  <si>
    <t>BTW</t>
  </si>
  <si>
    <t>1a. Verkopen hoog tarief</t>
  </si>
  <si>
    <t>1b. Verkopen laag tarief</t>
  </si>
  <si>
    <t>1c. Verkopen ander tarief</t>
  </si>
  <si>
    <t>1d. Privégebruik</t>
  </si>
  <si>
    <t>1e. Verkopen zonder BTW</t>
  </si>
  <si>
    <t>2a. Verlegging binnenland</t>
  </si>
  <si>
    <t>3a. Verkopen buiten EU</t>
  </si>
  <si>
    <t>3b. Verkopen binnen EU</t>
  </si>
  <si>
    <t>3c. Afstandsverkopen binnen EU</t>
  </si>
  <si>
    <t>4a. Leveringen uit landen buiten EU</t>
  </si>
  <si>
    <t>4b. Leveringen uit landen binnen EU</t>
  </si>
  <si>
    <t>5a. Verschuldigde omzetbelasting (1 t/m 4)</t>
  </si>
  <si>
    <t>5b. Voorheffing</t>
  </si>
  <si>
    <t>5c. Subtotaal (5a - 5b)</t>
  </si>
  <si>
    <t>5d. Vermindering volgens KOR</t>
  </si>
  <si>
    <t>Te betalen</t>
  </si>
  <si>
    <t>Gegevens in de Administratie</t>
  </si>
  <si>
    <t>Omzet hoge BTW</t>
  </si>
  <si>
    <t>Omzet lage BTW</t>
  </si>
  <si>
    <t>Omzet ander tarief</t>
  </si>
  <si>
    <t>Privégebruik</t>
  </si>
  <si>
    <t>Omzet zonder BTW</t>
  </si>
  <si>
    <t>Omzet met BTW verlegd binnenland</t>
  </si>
  <si>
    <t>Omzet buiten EU</t>
  </si>
  <si>
    <t>Omzet binnen EU</t>
  </si>
  <si>
    <t>Omzet afstandsverkopen binnen EU</t>
  </si>
  <si>
    <t>Inkoop uit landen buiten EU</t>
  </si>
  <si>
    <t>Inkoop uit landen binnen EU</t>
  </si>
  <si>
    <t>kwartaal:</t>
  </si>
  <si>
    <t>Suppletie</t>
  </si>
  <si>
    <t>Commerciële winst</t>
  </si>
  <si>
    <t>Saldo ondernemingsvermogen op balans (incl. oudedagsreserve)</t>
  </si>
  <si>
    <t>BEDRIJFSRESULTAAT</t>
  </si>
  <si>
    <t>2017</t>
  </si>
  <si>
    <t>Opbrengsten uit verkoopfacturen</t>
  </si>
  <si>
    <t>Verschuldigde inkomstenbelasting</t>
  </si>
  <si>
    <t>Verschuldigde ZVW-premie</t>
  </si>
  <si>
    <t xml:space="preserve">Prognose van de Aangifte IB 2017 </t>
  </si>
  <si>
    <t>Overlopende passiva (Nog te betalen bedragen)</t>
  </si>
  <si>
    <t>Naar (+) en Van (-) Privé (Onttrekkingen/Stortingen)</t>
  </si>
  <si>
    <t>Computer, printer, fiets in eigendom van de onderneming</t>
  </si>
  <si>
    <t>Saldo zakelijke bankrekening(en)</t>
  </si>
  <si>
    <t>Openstaande verkoopfacturen</t>
  </si>
  <si>
    <t>Reservering voor pensioen</t>
  </si>
  <si>
    <t>Andere openstaande bedragen, nog te ontvangen</t>
  </si>
  <si>
    <t>Andere openstaande bedragen, nog te betalen</t>
  </si>
  <si>
    <t>Nog te betalen btw</t>
  </si>
  <si>
    <t>Openstaande inkoopfacturen</t>
  </si>
  <si>
    <t>Fiscale waarde van je onderneming</t>
  </si>
  <si>
    <t>TOELICHTING</t>
  </si>
  <si>
    <t>Te reserveren percentage voor IB/ZVW</t>
  </si>
  <si>
    <t>Premie volksverzekeringen</t>
  </si>
  <si>
    <t>Ontvangen (-) of betaalde (+) voorlopige aanslagen</t>
  </si>
  <si>
    <t>NIET TOEPASSEN</t>
  </si>
  <si>
    <t>Deze cijfers en berekeningen zijn ter indicatie; hieraan kunnen geen rechten ontleend worden!
Zij gelden voor personen die de AOW-leeftijd nog niet bereikt hebben.</t>
  </si>
  <si>
    <t>Schijf 4</t>
  </si>
  <si>
    <t>Inkomensafhankelijke combinatiekorting (IACK)</t>
  </si>
  <si>
    <t>Info over IACK</t>
  </si>
  <si>
    <t>Vul de gele cellen in; de andere worden automatisch berekend.</t>
  </si>
  <si>
    <t>Neem over van jaaropgave of loonstrook.</t>
  </si>
  <si>
    <t>Als je in 2017 meer dan 1225 uur in je onderneming werkt.</t>
  </si>
  <si>
    <t>Vul hier het totaal in 2017 van de investeringen in.</t>
  </si>
  <si>
    <t>Als je na 2012 gestart bent en maximaal 2x deze aftrek gebruikte.</t>
  </si>
  <si>
    <t>Inkoop direct gebruikt voor de verkoop</t>
  </si>
  <si>
    <t>Totaal van de verkoopfacturen zonder btw</t>
  </si>
  <si>
    <t>Loon en andere kosten van werknemers</t>
  </si>
  <si>
    <t>20% van de aanschafwaarde van de vaste activa</t>
  </si>
  <si>
    <t>Als de waarde van je computer verandert; meestal niet gebruikt</t>
  </si>
  <si>
    <t>Huur van kantoor, werk- of vergaderruimte; in eigen huis meestal niet aftrekbaar!</t>
  </si>
  <si>
    <t>Reparaties aan je computer, printer of fiets van de zaak</t>
  </si>
  <si>
    <t>Zakelijke reiskosten met je eigen fiets of met het OV</t>
  </si>
  <si>
    <t>Alle kosten om je verkoop te stimuleren: reclame, website, lunches - let op soms is de aftrek beperkt!</t>
  </si>
  <si>
    <t>Al het andere: kantoorkosten, telefoon, administratie, verzekeringen</t>
  </si>
  <si>
    <t>Financiële baten</t>
  </si>
  <si>
    <t>Ontvangen rente, dividend, etc.</t>
  </si>
  <si>
    <t>Financiële lasten</t>
  </si>
  <si>
    <t>Betaalde rente, leningkosten, etc.</t>
  </si>
  <si>
    <t>Buitengewone baten</t>
  </si>
  <si>
    <t>Voordeel door privégebruik van de fiets van de zaak en door de kleine-ondernemersregeling (btw)</t>
  </si>
  <si>
    <t>Alle kosten die niet in het normale verloop van je onderneming vallen</t>
  </si>
  <si>
    <t>Het saldo van het geld dat je onderneming aan jou heeft betaald en de investering die jij uit je privégeld in je onderneming hebt gedaan</t>
  </si>
  <si>
    <t>Kleinschaligheidsinvesteringsaftrek (bij investeringen &gt; € 2.300,=)</t>
  </si>
  <si>
    <t>Of: 9,8% van je fiscale winst - of niets; geen tussenweg.</t>
  </si>
  <si>
    <t>Uitgaven voor inkomensvoorzieningen</t>
  </si>
  <si>
    <t>Voor pensioenlijfrente of arbeidsongeschiktheidverzekering.</t>
  </si>
  <si>
    <t>Overlopende activa (Nog te ontvangen of vooruitbetaalde bedragen)</t>
  </si>
  <si>
    <t>+ onttrekking aan de oudedagsreserve</t>
  </si>
  <si>
    <t>-/- toevoeging aan de oudedagsreserve</t>
  </si>
  <si>
    <t>Betaling van lijfrentepremie voor een pensioenvoorziening</t>
  </si>
  <si>
    <t>Omschrijving</t>
  </si>
  <si>
    <t>Datum</t>
  </si>
  <si>
    <t>Aankoop</t>
  </si>
  <si>
    <t>Bedrag</t>
  </si>
  <si>
    <t>Beginbalans</t>
  </si>
  <si>
    <t>Afschrijving</t>
  </si>
  <si>
    <t>#Maanden</t>
  </si>
  <si>
    <t>Bedr/mnd</t>
  </si>
  <si>
    <t>Eindbalans</t>
  </si>
  <si>
    <t>Samsung S8</t>
  </si>
  <si>
    <t>Overzicht van materiële vaste activa voor 
...</t>
  </si>
  <si>
    <t>BTW-overzicht 2017</t>
  </si>
  <si>
    <t>Niet aftrekbare kosten</t>
  </si>
  <si>
    <t>Fiscale Jaarrekening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</si>
</sst>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164" formatCode="_(&quot;€&quot;* #,##0.00_);_(&quot;€&quot;* \(#,##0.00\);_(&quot;€&quot;* &quot;-&quot;??_);_(@_)"/>
    <numFmt numFmtId="166" formatCode="_(&quot;€&quot;* #,##0_);_(&quot;€&quot;* \(#,##0\);_(&quot;€&quot;* &quot;-&quot;??_);_(@_)"/>
    <numFmt numFmtId="169" formatCode="_ &quot;€&quot;\ * #,##0_ ;_ &quot;€&quot;\ * \-#,##0_ ;_ &quot;€&quot;\ * &quot;-&quot;??_ ;_ @_ "/>
    <numFmt numFmtId="170" formatCode="&quot;€&quot;\ #,##0"/>
    <numFmt numFmtId="171" formatCode="dd/mm/yyyy;@"/>
  </numFmts>
  <fonts count="15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i/>
      <sz val="1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0" fillId="0" borderId="0"/>
    <xf numFmtId="0" fontId="14" fillId="0" borderId="0" applyNumberFormat="0" applyFill="0" applyBorder="0" applyAlignment="0" applyProtection="0"/>
  </cellStyleXfs>
  <cellXfs count="152">
    <xf numFmtId="0" fontId="0" fillId="0" borderId="0" xfId="0"/>
    <xf numFmtId="0" fontId="2" fillId="0" borderId="1" xfId="0" applyFont="1" applyBorder="1"/>
    <xf numFmtId="14" fontId="3" fillId="0" borderId="1" xfId="0" applyNumberFormat="1" applyFont="1" applyBorder="1"/>
    <xf numFmtId="0" fontId="4" fillId="0" borderId="0" xfId="0" applyFont="1"/>
    <xf numFmtId="0" fontId="6" fillId="2" borderId="0" xfId="0" applyFont="1" applyFill="1"/>
    <xf numFmtId="0" fontId="5" fillId="0" borderId="0" xfId="0" applyFont="1"/>
    <xf numFmtId="164" fontId="0" fillId="0" borderId="0" xfId="0" applyNumberFormat="1" applyBorder="1"/>
    <xf numFmtId="0" fontId="0" fillId="0" borderId="0" xfId="0" quotePrefix="1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164" fontId="0" fillId="0" borderId="9" xfId="0" applyNumberFormat="1" applyBorder="1"/>
    <xf numFmtId="0" fontId="6" fillId="2" borderId="6" xfId="0" applyFont="1" applyFill="1" applyBorder="1"/>
    <xf numFmtId="10" fontId="0" fillId="0" borderId="0" xfId="0" applyNumberFormat="1"/>
    <xf numFmtId="9" fontId="0" fillId="0" borderId="0" xfId="0" applyNumberFormat="1"/>
    <xf numFmtId="0" fontId="5" fillId="0" borderId="8" xfId="0" applyFont="1" applyBorder="1"/>
    <xf numFmtId="166" fontId="6" fillId="2" borderId="11" xfId="1" applyNumberFormat="1" applyFont="1" applyFill="1" applyBorder="1"/>
    <xf numFmtId="166" fontId="0" fillId="0" borderId="13" xfId="0" applyNumberFormat="1" applyBorder="1"/>
    <xf numFmtId="166" fontId="6" fillId="2" borderId="14" xfId="1" applyNumberFormat="1" applyFont="1" applyFill="1" applyBorder="1"/>
    <xf numFmtId="0" fontId="5" fillId="0" borderId="12" xfId="0" applyFont="1" applyBorder="1" applyAlignment="1">
      <alignment horizontal="right"/>
    </xf>
    <xf numFmtId="0" fontId="5" fillId="0" borderId="4" xfId="0" applyFont="1" applyBorder="1"/>
    <xf numFmtId="0" fontId="0" fillId="0" borderId="10" xfId="0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0" xfId="0" applyBorder="1"/>
    <xf numFmtId="0" fontId="0" fillId="0" borderId="0" xfId="0" applyAlignment="1"/>
    <xf numFmtId="0" fontId="0" fillId="0" borderId="2" xfId="0" quotePrefix="1" applyBorder="1"/>
    <xf numFmtId="166" fontId="0" fillId="0" borderId="0" xfId="0" applyNumberFormat="1"/>
    <xf numFmtId="0" fontId="5" fillId="0" borderId="0" xfId="0" applyFont="1" applyFill="1" applyBorder="1"/>
    <xf numFmtId="0" fontId="4" fillId="0" borderId="0" xfId="0" applyFont="1" applyFill="1"/>
    <xf numFmtId="0" fontId="0" fillId="0" borderId="1" xfId="0" applyBorder="1" applyAlignment="1">
      <alignment horizontal="center"/>
    </xf>
    <xf numFmtId="169" fontId="0" fillId="0" borderId="16" xfId="1" applyNumberFormat="1" applyFont="1" applyBorder="1"/>
    <xf numFmtId="169" fontId="0" fillId="0" borderId="17" xfId="1" applyNumberFormat="1" applyFont="1" applyBorder="1"/>
    <xf numFmtId="169" fontId="0" fillId="0" borderId="18" xfId="1" applyNumberFormat="1" applyFont="1" applyBorder="1"/>
    <xf numFmtId="169" fontId="0" fillId="0" borderId="19" xfId="1" applyNumberFormat="1" applyFont="1" applyBorder="1"/>
    <xf numFmtId="169" fontId="0" fillId="0" borderId="20" xfId="1" applyNumberFormat="1" applyFont="1" applyBorder="1"/>
    <xf numFmtId="169" fontId="0" fillId="0" borderId="21" xfId="1" applyNumberFormat="1" applyFont="1" applyBorder="1"/>
    <xf numFmtId="169" fontId="0" fillId="0" borderId="22" xfId="1" applyNumberFormat="1" applyFont="1" applyBorder="1"/>
    <xf numFmtId="169" fontId="0" fillId="0" borderId="23" xfId="1" applyNumberFormat="1" applyFont="1" applyBorder="1"/>
    <xf numFmtId="169" fontId="0" fillId="0" borderId="24" xfId="1" applyNumberFormat="1" applyFont="1" applyBorder="1"/>
    <xf numFmtId="169" fontId="0" fillId="0" borderId="25" xfId="1" applyNumberFormat="1" applyFont="1" applyBorder="1"/>
    <xf numFmtId="169" fontId="0" fillId="0" borderId="26" xfId="1" applyNumberFormat="1" applyFont="1" applyBorder="1"/>
    <xf numFmtId="169" fontId="0" fillId="0" borderId="27" xfId="1" applyNumberFormat="1" applyFont="1" applyBorder="1"/>
    <xf numFmtId="169" fontId="0" fillId="0" borderId="0" xfId="0" applyNumberFormat="1"/>
    <xf numFmtId="169" fontId="0" fillId="0" borderId="28" xfId="1" applyNumberFormat="1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19" xfId="1" applyNumberFormat="1" applyFont="1" applyBorder="1"/>
    <xf numFmtId="164" fontId="0" fillId="0" borderId="20" xfId="1" applyNumberFormat="1" applyFont="1" applyBorder="1"/>
    <xf numFmtId="164" fontId="0" fillId="0" borderId="21" xfId="1" applyNumberFormat="1" applyFont="1" applyBorder="1"/>
    <xf numFmtId="164" fontId="0" fillId="0" borderId="22" xfId="1" applyNumberFormat="1" applyFont="1" applyBorder="1"/>
    <xf numFmtId="164" fontId="0" fillId="0" borderId="23" xfId="1" applyNumberFormat="1" applyFont="1" applyBorder="1"/>
    <xf numFmtId="164" fontId="0" fillId="0" borderId="24" xfId="1" applyNumberFormat="1" applyFont="1" applyBorder="1"/>
    <xf numFmtId="164" fontId="0" fillId="0" borderId="25" xfId="1" applyNumberFormat="1" applyFont="1" applyBorder="1"/>
    <xf numFmtId="164" fontId="0" fillId="0" borderId="26" xfId="1" applyNumberFormat="1" applyFont="1" applyBorder="1"/>
    <xf numFmtId="164" fontId="0" fillId="0" borderId="27" xfId="1" applyNumberFormat="1" applyFont="1" applyBorder="1"/>
    <xf numFmtId="164" fontId="0" fillId="0" borderId="0" xfId="0" applyNumberFormat="1"/>
    <xf numFmtId="164" fontId="0" fillId="0" borderId="28" xfId="1" applyNumberFormat="1" applyFont="1" applyBorder="1"/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169" fontId="0" fillId="3" borderId="30" xfId="1" applyNumberFormat="1" applyFont="1" applyFill="1" applyBorder="1"/>
    <xf numFmtId="169" fontId="0" fillId="3" borderId="31" xfId="1" applyNumberFormat="1" applyFont="1" applyFill="1" applyBorder="1"/>
    <xf numFmtId="169" fontId="0" fillId="3" borderId="32" xfId="1" applyNumberFormat="1" applyFont="1" applyFill="1" applyBorder="1"/>
    <xf numFmtId="169" fontId="0" fillId="3" borderId="15" xfId="1" applyNumberFormat="1" applyFont="1" applyFill="1" applyBorder="1"/>
    <xf numFmtId="169" fontId="0" fillId="3" borderId="33" xfId="1" applyNumberFormat="1" applyFont="1" applyFill="1" applyBorder="1"/>
    <xf numFmtId="169" fontId="0" fillId="3" borderId="34" xfId="1" applyNumberFormat="1" applyFont="1" applyFill="1" applyBorder="1"/>
    <xf numFmtId="169" fontId="0" fillId="3" borderId="35" xfId="1" applyNumberFormat="1" applyFont="1" applyFill="1" applyBorder="1"/>
    <xf numFmtId="169" fontId="0" fillId="3" borderId="36" xfId="1" applyNumberFormat="1" applyFont="1" applyFill="1" applyBorder="1"/>
    <xf numFmtId="169" fontId="0" fillId="3" borderId="37" xfId="1" applyNumberFormat="1" applyFont="1" applyFill="1" applyBorder="1"/>
    <xf numFmtId="169" fontId="0" fillId="3" borderId="38" xfId="1" applyNumberFormat="1" applyFont="1" applyFill="1" applyBorder="1"/>
    <xf numFmtId="169" fontId="0" fillId="3" borderId="39" xfId="1" applyNumberFormat="1" applyFont="1" applyFill="1" applyBorder="1"/>
    <xf numFmtId="169" fontId="0" fillId="3" borderId="40" xfId="1" applyNumberFormat="1" applyFont="1" applyFill="1" applyBorder="1"/>
    <xf numFmtId="0" fontId="0" fillId="3" borderId="28" xfId="0" applyFill="1" applyBorder="1"/>
    <xf numFmtId="169" fontId="0" fillId="3" borderId="28" xfId="0" applyNumberFormat="1" applyFill="1" applyBorder="1"/>
    <xf numFmtId="169" fontId="0" fillId="0" borderId="0" xfId="1" applyNumberFormat="1" applyFont="1"/>
    <xf numFmtId="0" fontId="0" fillId="0" borderId="30" xfId="0" quotePrefix="1" applyBorder="1"/>
    <xf numFmtId="0" fontId="5" fillId="0" borderId="41" xfId="0" applyFont="1" applyBorder="1"/>
    <xf numFmtId="0" fontId="5" fillId="0" borderId="0" xfId="0" quotePrefix="1" applyFont="1"/>
    <xf numFmtId="166" fontId="0" fillId="0" borderId="5" xfId="0" applyNumberFormat="1" applyBorder="1"/>
    <xf numFmtId="166" fontId="0" fillId="0" borderId="9" xfId="0" applyNumberFormat="1" applyBorder="1"/>
    <xf numFmtId="166" fontId="6" fillId="2" borderId="7" xfId="1" applyNumberFormat="1" applyFont="1" applyFill="1" applyBorder="1"/>
    <xf numFmtId="0" fontId="5" fillId="0" borderId="8" xfId="0" applyFont="1" applyBorder="1" applyAlignment="1">
      <alignment horizontal="left"/>
    </xf>
    <xf numFmtId="169" fontId="6" fillId="2" borderId="0" xfId="1" applyNumberFormat="1" applyFont="1" applyFill="1"/>
    <xf numFmtId="169" fontId="4" fillId="0" borderId="0" xfId="1" applyNumberFormat="1" applyFont="1"/>
    <xf numFmtId="169" fontId="0" fillId="0" borderId="3" xfId="0" applyNumberFormat="1" applyBorder="1"/>
    <xf numFmtId="169" fontId="3" fillId="0" borderId="1" xfId="0" applyNumberFormat="1" applyFont="1" applyBorder="1" applyAlignment="1">
      <alignment horizontal="right"/>
    </xf>
    <xf numFmtId="169" fontId="0" fillId="0" borderId="31" xfId="0" applyNumberFormat="1" applyBorder="1"/>
    <xf numFmtId="169" fontId="0" fillId="0" borderId="42" xfId="0" applyNumberFormat="1" applyBorder="1"/>
    <xf numFmtId="170" fontId="0" fillId="0" borderId="0" xfId="0" applyNumberFormat="1"/>
    <xf numFmtId="166" fontId="0" fillId="0" borderId="8" xfId="0" applyNumberFormat="1" applyBorder="1"/>
    <xf numFmtId="0" fontId="5" fillId="0" borderId="5" xfId="0" applyFont="1" applyBorder="1" applyAlignment="1">
      <alignment horizontal="right"/>
    </xf>
    <xf numFmtId="0" fontId="0" fillId="0" borderId="6" xfId="0" applyFont="1" applyBorder="1"/>
    <xf numFmtId="166" fontId="0" fillId="0" borderId="7" xfId="0" applyNumberFormat="1" applyBorder="1"/>
    <xf numFmtId="0" fontId="11" fillId="4" borderId="4" xfId="0" applyFont="1" applyFill="1" applyBorder="1" applyAlignment="1"/>
    <xf numFmtId="0" fontId="5" fillId="0" borderId="8" xfId="0" applyFont="1" applyBorder="1" applyAlignment="1"/>
    <xf numFmtId="0" fontId="5" fillId="0" borderId="6" xfId="0" applyFont="1" applyBorder="1" applyAlignment="1"/>
    <xf numFmtId="0" fontId="0" fillId="0" borderId="8" xfId="0" applyBorder="1" applyAlignment="1">
      <alignment vertical="center"/>
    </xf>
    <xf numFmtId="9" fontId="11" fillId="4" borderId="12" xfId="2" applyFont="1" applyFill="1" applyBorder="1"/>
    <xf numFmtId="166" fontId="12" fillId="5" borderId="6" xfId="1" applyNumberFormat="1" applyFont="1" applyFill="1" applyBorder="1"/>
    <xf numFmtId="0" fontId="5" fillId="0" borderId="4" xfId="0" applyFont="1" applyBorder="1" applyAlignment="1">
      <alignment horizontal="right"/>
    </xf>
    <xf numFmtId="166" fontId="12" fillId="5" borderId="14" xfId="1" applyNumberFormat="1" applyFont="1" applyFill="1" applyBorder="1"/>
    <xf numFmtId="169" fontId="5" fillId="0" borderId="0" xfId="1" applyNumberFormat="1" applyFont="1"/>
    <xf numFmtId="10" fontId="0" fillId="0" borderId="0" xfId="2" applyNumberFormat="1" applyFont="1"/>
    <xf numFmtId="0" fontId="11" fillId="4" borderId="12" xfId="0" applyFont="1" applyFill="1" applyBorder="1" applyAlignment="1"/>
    <xf numFmtId="0" fontId="5" fillId="0" borderId="13" xfId="0" applyFont="1" applyBorder="1" applyAlignment="1"/>
    <xf numFmtId="0" fontId="13" fillId="0" borderId="0" xfId="0" applyFont="1" applyFill="1" applyBorder="1" applyAlignment="1">
      <alignment horizontal="center" wrapText="1"/>
    </xf>
    <xf numFmtId="0" fontId="14" fillId="0" borderId="0" xfId="5" applyAlignment="1">
      <alignment horizontal="center"/>
    </xf>
    <xf numFmtId="169" fontId="0" fillId="3" borderId="13" xfId="0" applyNumberFormat="1" applyFill="1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66" fontId="0" fillId="3" borderId="5" xfId="0" applyNumberFormat="1" applyFill="1" applyBorder="1" applyProtection="1">
      <protection locked="0"/>
    </xf>
    <xf numFmtId="166" fontId="0" fillId="3" borderId="7" xfId="0" applyNumberFormat="1" applyFill="1" applyBorder="1" applyProtection="1">
      <protection locked="0"/>
    </xf>
    <xf numFmtId="169" fontId="0" fillId="3" borderId="0" xfId="1" applyNumberFormat="1" applyFont="1" applyFill="1" applyProtection="1">
      <protection locked="0"/>
    </xf>
    <xf numFmtId="0" fontId="5" fillId="0" borderId="0" xfId="0" applyFont="1" applyAlignment="1"/>
    <xf numFmtId="169" fontId="0" fillId="3" borderId="12" xfId="1" applyNumberFormat="1" applyFont="1" applyFill="1" applyBorder="1" applyProtection="1">
      <protection locked="0"/>
    </xf>
    <xf numFmtId="0" fontId="5" fillId="0" borderId="14" xfId="0" applyFont="1" applyBorder="1"/>
    <xf numFmtId="0" fontId="5" fillId="0" borderId="6" xfId="0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0" xfId="0" quotePrefix="1" applyFont="1" applyFill="1" applyBorder="1"/>
    <xf numFmtId="0" fontId="5" fillId="0" borderId="3" xfId="0" applyFont="1" applyBorder="1" applyAlignment="1">
      <alignment horizontal="center"/>
    </xf>
    <xf numFmtId="171" fontId="0" fillId="0" borderId="0" xfId="0" applyNumberFormat="1"/>
    <xf numFmtId="44" fontId="0" fillId="0" borderId="0" xfId="0" applyNumberFormat="1"/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3" fillId="3" borderId="2" xfId="0" applyFont="1" applyFill="1" applyBorder="1" applyAlignment="1">
      <alignment horizontal="center" wrapText="1"/>
    </xf>
    <xf numFmtId="0" fontId="13" fillId="3" borderId="43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166" fontId="0" fillId="0" borderId="13" xfId="0" applyNumberForma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5" fillId="0" borderId="44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</cellXfs>
  <cellStyles count="6">
    <cellStyle name="Hyperlink" xfId="5" builtinId="8"/>
    <cellStyle name="Normal" xfId="3" xr:uid="{00000000-0005-0000-0000-000001000000}"/>
    <cellStyle name="Procent" xfId="2" builtinId="5"/>
    <cellStyle name="Standaard" xfId="0" builtinId="0"/>
    <cellStyle name="Standaard 2" xfId="4" xr:uid="{00000000-0005-0000-0000-000030000000}"/>
    <cellStyle name="Valuta" xfId="1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2819400</xdr:colOff>
      <xdr:row>1</xdr:row>
      <xdr:rowOff>80507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120E3E5-9D3B-45A8-96DB-C5186EACB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2800350" cy="1213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2819400</xdr:colOff>
      <xdr:row>4</xdr:row>
      <xdr:rowOff>42407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18FA4DA-578F-42AE-858B-6C566CD6B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2800350" cy="120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2800350</xdr:colOff>
      <xdr:row>0</xdr:row>
      <xdr:rowOff>1208267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2D67E5A-ED05-4831-BDCB-1F5CBB488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0350" cy="1208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57151</xdr:rowOff>
    </xdr:from>
    <xdr:to>
      <xdr:col>2</xdr:col>
      <xdr:colOff>152400</xdr:colOff>
      <xdr:row>7</xdr:row>
      <xdr:rowOff>171948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FC09D80-9A91-4D7E-B1B5-04C3B05A7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1"/>
          <a:ext cx="2800350" cy="1213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elastingdienst.nl/wps/wcm/connect/bldcontentnl/belastingdienst/prive/inkomstenbelasting/heffingskortingen_boxen_tarieven/heffingskortingen/inkomensafhankelijke_combikortin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workbookViewId="0">
      <selection activeCell="B1" sqref="B1:C1"/>
    </sheetView>
  </sheetViews>
  <sheetFormatPr defaultRowHeight="13.2" x14ac:dyDescent="0.25"/>
  <cols>
    <col min="1" max="1" width="53.5546875" bestFit="1" customWidth="1"/>
    <col min="2" max="2" width="15.44140625" customWidth="1"/>
    <col min="3" max="3" width="17.44140625" customWidth="1"/>
    <col min="4" max="4" width="4.88671875" customWidth="1"/>
    <col min="5" max="5" width="53.33203125" customWidth="1"/>
    <col min="6" max="6" width="8.88671875" customWidth="1"/>
    <col min="7" max="7" width="34.5546875" bestFit="1" customWidth="1"/>
  </cols>
  <sheetData>
    <row r="1" spans="1:5" ht="89.25" customHeight="1" x14ac:dyDescent="0.3">
      <c r="B1" s="127" t="s">
        <v>164</v>
      </c>
      <c r="C1" s="128"/>
      <c r="D1" s="25"/>
      <c r="E1" s="25"/>
    </row>
    <row r="2" spans="1:5" ht="26.25" customHeight="1" x14ac:dyDescent="0.25">
      <c r="A2" s="126" t="s">
        <v>21</v>
      </c>
      <c r="B2" s="126"/>
      <c r="C2" s="126"/>
      <c r="D2" s="25"/>
      <c r="E2" s="25"/>
    </row>
    <row r="3" spans="1:5" ht="15.6" x14ac:dyDescent="0.3">
      <c r="A3" s="129" t="s">
        <v>120</v>
      </c>
      <c r="B3" s="130"/>
      <c r="C3" s="131"/>
      <c r="D3" s="25"/>
      <c r="E3" s="25"/>
    </row>
    <row r="4" spans="1:5" x14ac:dyDescent="0.25">
      <c r="D4" s="25"/>
      <c r="E4" s="25"/>
    </row>
    <row r="5" spans="1:5" ht="15.6" x14ac:dyDescent="0.3">
      <c r="A5" s="1" t="s">
        <v>0</v>
      </c>
      <c r="B5" s="2">
        <v>43100</v>
      </c>
      <c r="C5" s="2">
        <v>42735</v>
      </c>
      <c r="D5" s="25"/>
      <c r="E5" s="2" t="s">
        <v>111</v>
      </c>
    </row>
    <row r="6" spans="1:5" x14ac:dyDescent="0.25">
      <c r="A6" s="3" t="s">
        <v>53</v>
      </c>
      <c r="B6" s="115">
        <v>1E-4</v>
      </c>
      <c r="C6" s="115">
        <v>1.0000000000000001E-5</v>
      </c>
      <c r="D6" s="25"/>
      <c r="E6" s="25" t="s">
        <v>102</v>
      </c>
    </row>
    <row r="7" spans="1:5" x14ac:dyDescent="0.25">
      <c r="A7" s="29" t="s">
        <v>32</v>
      </c>
      <c r="B7" s="115">
        <v>1E-4</v>
      </c>
      <c r="C7" s="115">
        <v>1.0000000000000001E-5</v>
      </c>
      <c r="D7" s="25"/>
      <c r="E7" s="25" t="s">
        <v>103</v>
      </c>
    </row>
    <row r="8" spans="1:5" x14ac:dyDescent="0.25">
      <c r="A8" s="29" t="s">
        <v>1</v>
      </c>
      <c r="B8" s="115">
        <v>100</v>
      </c>
      <c r="C8" s="115">
        <v>1.0000000000000001E-5</v>
      </c>
      <c r="D8" s="25"/>
      <c r="E8" s="25" t="s">
        <v>104</v>
      </c>
    </row>
    <row r="9" spans="1:5" x14ac:dyDescent="0.25">
      <c r="A9" s="29" t="s">
        <v>147</v>
      </c>
      <c r="B9" s="115">
        <v>50</v>
      </c>
      <c r="C9" s="115">
        <v>1.0000000000000001E-5</v>
      </c>
      <c r="D9" s="25"/>
      <c r="E9" s="25" t="s">
        <v>106</v>
      </c>
    </row>
    <row r="10" spans="1:5" x14ac:dyDescent="0.25">
      <c r="A10" s="4" t="s">
        <v>2</v>
      </c>
      <c r="B10" s="86">
        <f>SUM(B6:B9)</f>
        <v>150.00020000000001</v>
      </c>
      <c r="C10" s="86">
        <f>SUM(C6:C9)</f>
        <v>4.0000000000000003E-5</v>
      </c>
      <c r="D10" s="25"/>
      <c r="E10" s="25"/>
    </row>
    <row r="11" spans="1:5" x14ac:dyDescent="0.25">
      <c r="B11" s="43"/>
      <c r="C11" s="43"/>
    </row>
    <row r="12" spans="1:5" x14ac:dyDescent="0.25">
      <c r="A12" s="3" t="s">
        <v>3</v>
      </c>
      <c r="B12" s="87">
        <f>B10-B13-B14-B15-B16</f>
        <v>130.00017</v>
      </c>
      <c r="C12" s="87">
        <f>C10-C13-C14-C15-C16</f>
        <v>9.0000000000000002E-6</v>
      </c>
      <c r="E12" t="s">
        <v>110</v>
      </c>
    </row>
    <row r="13" spans="1:5" x14ac:dyDescent="0.25">
      <c r="A13" s="3" t="str">
        <f>"Oudedagsreserve (9,8% van de fiscale winst: € "&amp;ROUND((B48+B53)*(0.098/1.098),0)&amp;")"</f>
        <v>Oudedagsreserve (9,8% van de fiscale winst: € -6)</v>
      </c>
      <c r="B13" s="115">
        <v>1.0000000000000001E-5</v>
      </c>
      <c r="C13" s="115">
        <v>1.0000000000000001E-5</v>
      </c>
      <c r="D13" s="6"/>
      <c r="E13" s="7" t="s">
        <v>105</v>
      </c>
    </row>
    <row r="14" spans="1:5" x14ac:dyDescent="0.25">
      <c r="A14" s="29" t="s">
        <v>4</v>
      </c>
      <c r="B14" s="115">
        <v>1.0000000000000001E-5</v>
      </c>
      <c r="C14" s="115">
        <v>9.9999999999999995E-7</v>
      </c>
      <c r="E14" s="25" t="s">
        <v>109</v>
      </c>
    </row>
    <row r="15" spans="1:5" x14ac:dyDescent="0.25">
      <c r="A15" s="29" t="s">
        <v>5</v>
      </c>
      <c r="B15" s="115">
        <v>20</v>
      </c>
      <c r="C15" s="115">
        <v>1.0000000000000001E-5</v>
      </c>
      <c r="E15" s="25" t="s">
        <v>108</v>
      </c>
    </row>
    <row r="16" spans="1:5" x14ac:dyDescent="0.25">
      <c r="A16" s="3" t="s">
        <v>100</v>
      </c>
      <c r="B16" s="115">
        <v>1.0000000000000001E-5</v>
      </c>
      <c r="C16" s="115">
        <v>1.0000000000000001E-5</v>
      </c>
      <c r="E16" s="25" t="s">
        <v>107</v>
      </c>
    </row>
    <row r="17" spans="1:6" x14ac:dyDescent="0.25">
      <c r="A17" s="4" t="s">
        <v>6</v>
      </c>
      <c r="B17" s="86">
        <f>SUM(B12:B16)</f>
        <v>150.00020000000001</v>
      </c>
      <c r="C17" s="86">
        <f>SUM(C12:C16)</f>
        <v>4.0000000000000003E-5</v>
      </c>
    </row>
    <row r="18" spans="1:6" x14ac:dyDescent="0.25">
      <c r="B18" s="43"/>
      <c r="C18" s="43"/>
    </row>
    <row r="19" spans="1:6" x14ac:dyDescent="0.25">
      <c r="A19" s="26" t="s">
        <v>48</v>
      </c>
      <c r="B19" s="88">
        <f>ROUND(B12+B13-C12,0)</f>
        <v>130</v>
      </c>
      <c r="C19" s="43"/>
      <c r="E19" s="62" t="str">
        <f>"BALANS "&amp;IF(($B$19=$B$45),"KLOPT","KLOPT NOG NIET")&amp;" MET DE RESULTATENREKENING"</f>
        <v>BALANS KLOPT MET DE RESULTATENREKENING</v>
      </c>
    </row>
    <row r="20" spans="1:6" x14ac:dyDescent="0.25">
      <c r="B20" s="43"/>
      <c r="C20" s="43"/>
    </row>
    <row r="21" spans="1:6" ht="15.6" x14ac:dyDescent="0.3">
      <c r="A21" s="1" t="s">
        <v>7</v>
      </c>
      <c r="B21" s="89" t="s">
        <v>95</v>
      </c>
      <c r="C21" s="89" t="s">
        <v>13</v>
      </c>
      <c r="E21" s="2" t="s">
        <v>111</v>
      </c>
    </row>
    <row r="22" spans="1:6" x14ac:dyDescent="0.25">
      <c r="A22" s="3" t="s">
        <v>8</v>
      </c>
      <c r="B22" s="115">
        <v>100</v>
      </c>
      <c r="C22" s="115">
        <v>0</v>
      </c>
      <c r="E22" s="5" t="s">
        <v>126</v>
      </c>
      <c r="F22" s="43"/>
    </row>
    <row r="23" spans="1:6" x14ac:dyDescent="0.25">
      <c r="A23" t="s">
        <v>9</v>
      </c>
      <c r="B23" s="115">
        <v>0</v>
      </c>
      <c r="C23" s="115">
        <v>0</v>
      </c>
      <c r="E23" s="5" t="s">
        <v>125</v>
      </c>
    </row>
    <row r="24" spans="1:6" x14ac:dyDescent="0.25">
      <c r="A24" s="4"/>
      <c r="B24" s="86">
        <f>SUM(B22:B23)</f>
        <v>100</v>
      </c>
      <c r="C24" s="86">
        <f>SUM(C22:C23)</f>
        <v>0</v>
      </c>
    </row>
    <row r="25" spans="1:6" x14ac:dyDescent="0.25">
      <c r="B25" s="78"/>
      <c r="C25" s="78"/>
    </row>
    <row r="26" spans="1:6" x14ac:dyDescent="0.25">
      <c r="A26" t="s">
        <v>37</v>
      </c>
      <c r="B26" s="115">
        <v>0</v>
      </c>
      <c r="C26" s="115">
        <v>0</v>
      </c>
      <c r="E26" s="5" t="s">
        <v>127</v>
      </c>
    </row>
    <row r="27" spans="1:6" x14ac:dyDescent="0.25">
      <c r="A27" t="s">
        <v>38</v>
      </c>
      <c r="B27" s="115">
        <v>0</v>
      </c>
      <c r="C27" s="115">
        <v>0</v>
      </c>
      <c r="E27" s="5" t="s">
        <v>128</v>
      </c>
    </row>
    <row r="28" spans="1:6" x14ac:dyDescent="0.25">
      <c r="A28" t="s">
        <v>39</v>
      </c>
      <c r="B28" s="115">
        <v>0</v>
      </c>
      <c r="C28" s="115">
        <v>0</v>
      </c>
      <c r="E28" s="5" t="s">
        <v>129</v>
      </c>
    </row>
    <row r="29" spans="1:6" x14ac:dyDescent="0.25">
      <c r="A29" t="s">
        <v>40</v>
      </c>
      <c r="B29" s="115">
        <f>-15*28*0.19</f>
        <v>-79.8</v>
      </c>
      <c r="C29" s="115">
        <v>0</v>
      </c>
      <c r="E29" s="5" t="s">
        <v>132</v>
      </c>
    </row>
    <row r="30" spans="1:6" x14ac:dyDescent="0.25">
      <c r="A30" t="s">
        <v>41</v>
      </c>
      <c r="B30" s="115">
        <v>0</v>
      </c>
      <c r="C30" s="115">
        <v>0</v>
      </c>
      <c r="E30" s="5" t="s">
        <v>130</v>
      </c>
    </row>
    <row r="31" spans="1:6" x14ac:dyDescent="0.25">
      <c r="A31" t="s">
        <v>42</v>
      </c>
      <c r="B31" s="115">
        <v>0</v>
      </c>
      <c r="C31" s="115">
        <v>0</v>
      </c>
      <c r="E31" s="5" t="s">
        <v>131</v>
      </c>
    </row>
    <row r="32" spans="1:6" x14ac:dyDescent="0.25">
      <c r="A32" t="s">
        <v>43</v>
      </c>
      <c r="B32" s="115">
        <v>0</v>
      </c>
      <c r="C32" s="115">
        <v>0</v>
      </c>
      <c r="E32" s="5" t="s">
        <v>133</v>
      </c>
    </row>
    <row r="33" spans="1:5" x14ac:dyDescent="0.25">
      <c r="A33" t="s">
        <v>44</v>
      </c>
      <c r="B33" s="115">
        <f>-50-40</f>
        <v>-90</v>
      </c>
      <c r="C33" s="115">
        <v>0</v>
      </c>
      <c r="E33" s="5" t="s">
        <v>134</v>
      </c>
    </row>
    <row r="34" spans="1:5" x14ac:dyDescent="0.25">
      <c r="A34" s="4" t="s">
        <v>45</v>
      </c>
      <c r="B34" s="86">
        <f>SUM(B26:B33)</f>
        <v>-169.8</v>
      </c>
      <c r="C34" s="86">
        <f>SUM(C26:C33)</f>
        <v>0</v>
      </c>
    </row>
    <row r="35" spans="1:5" x14ac:dyDescent="0.25">
      <c r="A35" s="4" t="s">
        <v>94</v>
      </c>
      <c r="B35" s="86">
        <f>B24+B34</f>
        <v>-69.800000000000011</v>
      </c>
      <c r="C35" s="86">
        <f>C24+C34</f>
        <v>0</v>
      </c>
    </row>
    <row r="36" spans="1:5" x14ac:dyDescent="0.25">
      <c r="B36" s="78"/>
      <c r="C36" s="78"/>
    </row>
    <row r="37" spans="1:5" x14ac:dyDescent="0.25">
      <c r="A37" s="5" t="s">
        <v>135</v>
      </c>
      <c r="B37" s="115">
        <v>0</v>
      </c>
      <c r="C37" s="115">
        <v>0</v>
      </c>
      <c r="E37" s="5" t="s">
        <v>136</v>
      </c>
    </row>
    <row r="38" spans="1:5" x14ac:dyDescent="0.25">
      <c r="A38" s="5" t="s">
        <v>137</v>
      </c>
      <c r="B38" s="115">
        <v>0</v>
      </c>
      <c r="C38" s="115">
        <v>0</v>
      </c>
      <c r="E38" s="5" t="s">
        <v>138</v>
      </c>
    </row>
    <row r="39" spans="1:5" x14ac:dyDescent="0.25">
      <c r="A39" s="5" t="s">
        <v>139</v>
      </c>
      <c r="B39" s="115">
        <v>5</v>
      </c>
      <c r="C39" s="115">
        <v>0</v>
      </c>
      <c r="E39" s="5" t="s">
        <v>140</v>
      </c>
    </row>
    <row r="40" spans="1:5" x14ac:dyDescent="0.25">
      <c r="A40" t="s">
        <v>46</v>
      </c>
      <c r="B40" s="115">
        <v>0</v>
      </c>
      <c r="C40" s="115">
        <v>0</v>
      </c>
      <c r="E40" s="5" t="s">
        <v>141</v>
      </c>
    </row>
    <row r="41" spans="1:5" x14ac:dyDescent="0.25">
      <c r="A41" s="4" t="s">
        <v>47</v>
      </c>
      <c r="B41" s="86">
        <f>SUM(B37:B40)</f>
        <v>5</v>
      </c>
      <c r="C41" s="86">
        <f>SUM(C37:C40)</f>
        <v>0</v>
      </c>
    </row>
    <row r="42" spans="1:5" x14ac:dyDescent="0.25">
      <c r="B42" s="78"/>
      <c r="C42" s="43"/>
    </row>
    <row r="43" spans="1:5" x14ac:dyDescent="0.25">
      <c r="A43" s="28" t="s">
        <v>51</v>
      </c>
      <c r="B43" s="78">
        <f>B24+B34+B41</f>
        <v>-64.800000000000011</v>
      </c>
      <c r="C43" s="43"/>
    </row>
    <row r="44" spans="1:5" x14ac:dyDescent="0.25">
      <c r="A44" s="28" t="s">
        <v>101</v>
      </c>
      <c r="B44" s="115">
        <v>-195</v>
      </c>
      <c r="C44" s="43"/>
      <c r="E44" s="5" t="s">
        <v>142</v>
      </c>
    </row>
    <row r="45" spans="1:5" x14ac:dyDescent="0.25">
      <c r="A45" s="79" t="s">
        <v>49</v>
      </c>
      <c r="B45" s="90">
        <f>ROUND(B43-B44,0)</f>
        <v>130</v>
      </c>
      <c r="C45" s="43"/>
      <c r="E45" s="62" t="str">
        <f>IF(($B$19=$B$45),"KLOPT","NOG NIET GELIJK")</f>
        <v>KLOPT</v>
      </c>
    </row>
    <row r="46" spans="1:5" x14ac:dyDescent="0.25">
      <c r="A46" s="80" t="s">
        <v>93</v>
      </c>
      <c r="B46" s="91">
        <f>ROUND(B19,0)</f>
        <v>130</v>
      </c>
      <c r="C46" s="43"/>
    </row>
    <row r="47" spans="1:5" x14ac:dyDescent="0.25">
      <c r="B47" s="43"/>
      <c r="C47" s="43"/>
    </row>
    <row r="48" spans="1:5" x14ac:dyDescent="0.25">
      <c r="A48" s="28" t="s">
        <v>51</v>
      </c>
      <c r="B48" s="43">
        <f>B43</f>
        <v>-64.800000000000011</v>
      </c>
      <c r="C48" s="43"/>
    </row>
    <row r="49" spans="1:5" x14ac:dyDescent="0.25">
      <c r="A49" s="122" t="s">
        <v>148</v>
      </c>
      <c r="B49" s="115">
        <v>0</v>
      </c>
      <c r="C49" s="43"/>
      <c r="E49" t="s">
        <v>150</v>
      </c>
    </row>
    <row r="50" spans="1:5" x14ac:dyDescent="0.25">
      <c r="A50" s="81" t="s">
        <v>149</v>
      </c>
      <c r="B50" s="105">
        <f>IF(C50="TOEPASSEN",(0.098/1.098)*(B48+B53),0)</f>
        <v>0</v>
      </c>
      <c r="C50" s="112" t="s">
        <v>115</v>
      </c>
      <c r="E50" s="5" t="s">
        <v>144</v>
      </c>
    </row>
    <row r="51" spans="1:5" x14ac:dyDescent="0.25">
      <c r="A51" s="5" t="s">
        <v>92</v>
      </c>
      <c r="B51" s="43">
        <f>B48+B49-B50</f>
        <v>-64.800000000000011</v>
      </c>
      <c r="C51" s="43"/>
    </row>
    <row r="52" spans="1:5" x14ac:dyDescent="0.25">
      <c r="A52" s="5"/>
      <c r="B52" s="43"/>
      <c r="C52" s="43"/>
    </row>
    <row r="53" spans="1:5" x14ac:dyDescent="0.25">
      <c r="A53" t="s">
        <v>56</v>
      </c>
      <c r="B53" s="43">
        <f>ROUNDDOWN(C66+C67,0)</f>
        <v>0</v>
      </c>
      <c r="C53" s="43"/>
    </row>
    <row r="54" spans="1:5" x14ac:dyDescent="0.25">
      <c r="A54" s="28" t="s">
        <v>50</v>
      </c>
      <c r="B54" s="43">
        <f>B51+B53</f>
        <v>-64.800000000000011</v>
      </c>
      <c r="C54" s="43"/>
    </row>
    <row r="55" spans="1:5" ht="15.6" x14ac:dyDescent="0.3">
      <c r="A55" s="28"/>
      <c r="B55" s="43"/>
      <c r="C55" s="43"/>
      <c r="E55" s="2" t="s">
        <v>111</v>
      </c>
    </row>
    <row r="56" spans="1:5" x14ac:dyDescent="0.25">
      <c r="A56" s="5" t="s">
        <v>10</v>
      </c>
      <c r="B56" s="105">
        <f>IF(C56="TOEPASSEN",7280,0)</f>
        <v>0</v>
      </c>
      <c r="C56" s="112" t="s">
        <v>115</v>
      </c>
      <c r="E56" s="116" t="s">
        <v>122</v>
      </c>
    </row>
    <row r="57" spans="1:5" ht="13.8" thickBot="1" x14ac:dyDescent="0.3">
      <c r="A57" s="5" t="s">
        <v>14</v>
      </c>
      <c r="B57" s="105">
        <f>IF(C57="TOEPASSEN",2123,0)</f>
        <v>0</v>
      </c>
      <c r="C57" s="112" t="s">
        <v>115</v>
      </c>
      <c r="E57" s="5" t="s">
        <v>124</v>
      </c>
    </row>
    <row r="58" spans="1:5" x14ac:dyDescent="0.25">
      <c r="A58" s="5" t="s">
        <v>143</v>
      </c>
      <c r="B58" s="78">
        <f>IF(E58&gt;2300,E58*0.28,0)</f>
        <v>0</v>
      </c>
      <c r="E58" s="117">
        <v>0</v>
      </c>
    </row>
    <row r="59" spans="1:5" ht="13.8" thickBot="1" x14ac:dyDescent="0.3">
      <c r="A59" s="5" t="s">
        <v>11</v>
      </c>
      <c r="B59" s="78">
        <f>ROUNDUP((B54-B56-B57-B58)*0.14,0)</f>
        <v>-10</v>
      </c>
      <c r="E59" s="118" t="s">
        <v>123</v>
      </c>
    </row>
    <row r="60" spans="1:5" x14ac:dyDescent="0.25">
      <c r="B60" s="43"/>
    </row>
    <row r="61" spans="1:5" x14ac:dyDescent="0.25">
      <c r="A61" s="4" t="s">
        <v>12</v>
      </c>
      <c r="B61" s="86">
        <f>B54-B56-B57-B58-B59</f>
        <v>-54.800000000000011</v>
      </c>
    </row>
    <row r="65" spans="1:3" x14ac:dyDescent="0.25">
      <c r="A65" s="5" t="s">
        <v>163</v>
      </c>
      <c r="B65" t="s">
        <v>54</v>
      </c>
      <c r="C65" t="s">
        <v>55</v>
      </c>
    </row>
    <row r="66" spans="1:3" x14ac:dyDescent="0.25">
      <c r="A66" s="5"/>
      <c r="B66" s="115"/>
      <c r="C66" s="92">
        <f>(1-0.8)*B66</f>
        <v>0</v>
      </c>
    </row>
    <row r="67" spans="1:3" x14ac:dyDescent="0.25">
      <c r="A67" s="5"/>
      <c r="B67" s="115"/>
      <c r="C67" s="92">
        <f>(1-0.8)*B67</f>
        <v>0</v>
      </c>
    </row>
    <row r="68" spans="1:3" x14ac:dyDescent="0.25">
      <c r="A68" s="5"/>
    </row>
  </sheetData>
  <sheetProtection sheet="1" objects="1" scenarios="1"/>
  <mergeCells count="3">
    <mergeCell ref="A2:C2"/>
    <mergeCell ref="B1:C1"/>
    <mergeCell ref="A3:C3"/>
  </mergeCells>
  <conditionalFormatting sqref="E19">
    <cfRule type="containsText" dxfId="3" priority="3" stopIfTrue="1" operator="containsText" text="NIET">
      <formula>NOT(ISERROR(SEARCH("NIET",E19)))</formula>
    </cfRule>
    <cfRule type="containsText" dxfId="2" priority="4" operator="containsText" text="KLOPT">
      <formula>NOT(ISERROR(SEARCH("KLOPT",E19)))</formula>
    </cfRule>
  </conditionalFormatting>
  <conditionalFormatting sqref="E45">
    <cfRule type="containsText" dxfId="1" priority="1" operator="containsText" text="KLOPT">
      <formula>NOT(ISERROR(SEARCH("KLOPT",E45)))</formula>
    </cfRule>
    <cfRule type="containsText" dxfId="0" priority="2" operator="containsText" text="NOG NIET GELIJK">
      <formula>NOT(ISERROR(SEARCH("NOG NIET GELIJK",E45)))</formula>
    </cfRule>
  </conditionalFormatting>
  <dataValidations count="1">
    <dataValidation type="list" allowBlank="1" showInputMessage="1" showErrorMessage="1" sqref="C56:C57 C50" xr:uid="{A69ED3BC-C701-4845-8D1C-B1AF9302AF6B}">
      <formula1>"TOEPASSEN,NIET TOEPASSEN"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28A72-5B2F-4ACE-A04C-3AC638100F32}">
  <dimension ref="A1:H11"/>
  <sheetViews>
    <sheetView workbookViewId="0">
      <selection activeCell="B2" sqref="B2"/>
    </sheetView>
  </sheetViews>
  <sheetFormatPr defaultRowHeight="13.2" x14ac:dyDescent="0.25"/>
  <cols>
    <col min="1" max="1" width="41.21875" customWidth="1"/>
    <col min="2" max="2" width="10.33203125" bestFit="1" customWidth="1"/>
    <col min="3" max="3" width="9.21875" bestFit="1" customWidth="1"/>
    <col min="8" max="9" width="10.33203125" bestFit="1" customWidth="1"/>
  </cols>
  <sheetData>
    <row r="1" spans="1:8" ht="43.8" customHeight="1" x14ac:dyDescent="0.3">
      <c r="B1" s="127" t="s">
        <v>161</v>
      </c>
      <c r="C1" s="127"/>
      <c r="D1" s="127"/>
      <c r="E1" s="127"/>
      <c r="F1" s="127"/>
      <c r="G1" s="127"/>
      <c r="H1" s="127"/>
    </row>
    <row r="2" spans="1:8" ht="17.399999999999999" x14ac:dyDescent="0.3">
      <c r="B2" s="120"/>
      <c r="C2" s="121"/>
      <c r="H2" s="124">
        <v>42736</v>
      </c>
    </row>
    <row r="3" spans="1:8" ht="17.399999999999999" x14ac:dyDescent="0.3">
      <c r="B3" s="120"/>
      <c r="C3" s="121"/>
      <c r="H3" s="124">
        <v>43100</v>
      </c>
    </row>
    <row r="4" spans="1:8" ht="17.399999999999999" x14ac:dyDescent="0.3">
      <c r="B4" s="120"/>
      <c r="C4" s="121"/>
    </row>
    <row r="6" spans="1:8" x14ac:dyDescent="0.25">
      <c r="B6" s="5" t="s">
        <v>153</v>
      </c>
      <c r="D6" s="5" t="s">
        <v>155</v>
      </c>
      <c r="E6" s="5" t="s">
        <v>156</v>
      </c>
      <c r="H6" s="5" t="s">
        <v>159</v>
      </c>
    </row>
    <row r="7" spans="1:8" x14ac:dyDescent="0.25">
      <c r="A7" s="5" t="s">
        <v>151</v>
      </c>
      <c r="B7" s="5" t="s">
        <v>152</v>
      </c>
      <c r="C7" s="5" t="s">
        <v>154</v>
      </c>
      <c r="D7" s="5" t="s">
        <v>154</v>
      </c>
      <c r="E7" s="5" t="s">
        <v>158</v>
      </c>
      <c r="F7" s="5" t="s">
        <v>157</v>
      </c>
      <c r="G7" s="5" t="s">
        <v>154</v>
      </c>
      <c r="H7" s="5" t="s">
        <v>154</v>
      </c>
    </row>
    <row r="8" spans="1:8" x14ac:dyDescent="0.25">
      <c r="A8" s="5" t="s">
        <v>52</v>
      </c>
      <c r="B8" s="124">
        <v>43081</v>
      </c>
    </row>
    <row r="9" spans="1:8" x14ac:dyDescent="0.25">
      <c r="B9" s="124">
        <v>43082</v>
      </c>
    </row>
    <row r="10" spans="1:8" x14ac:dyDescent="0.25">
      <c r="A10" s="5" t="s">
        <v>160</v>
      </c>
      <c r="B10" s="124">
        <v>43083</v>
      </c>
      <c r="C10" s="125">
        <v>476.03</v>
      </c>
      <c r="D10" s="125">
        <v>1E-4</v>
      </c>
      <c r="E10" s="125">
        <f>ROUND(C10/60,2)</f>
        <v>7.93</v>
      </c>
      <c r="F10">
        <f>ROUND(($H$3-B10)/365*12,0)</f>
        <v>1</v>
      </c>
      <c r="G10" s="125">
        <f>E10*F10</f>
        <v>7.93</v>
      </c>
      <c r="H10" s="125">
        <f>C10-E10</f>
        <v>468.09999999999997</v>
      </c>
    </row>
    <row r="11" spans="1:8" x14ac:dyDescent="0.25">
      <c r="B11" s="124"/>
    </row>
  </sheetData>
  <mergeCells count="1">
    <mergeCell ref="B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2"/>
  <sheetViews>
    <sheetView workbookViewId="0">
      <selection activeCell="B20" sqref="B20"/>
    </sheetView>
  </sheetViews>
  <sheetFormatPr defaultRowHeight="13.2" x14ac:dyDescent="0.25"/>
  <cols>
    <col min="1" max="1" width="41" customWidth="1"/>
    <col min="2" max="2" width="18.44140625" customWidth="1"/>
    <col min="3" max="3" width="19.44140625" customWidth="1"/>
    <col min="4" max="4" width="16.5546875" bestFit="1" customWidth="1"/>
    <col min="5" max="5" width="19.21875" customWidth="1"/>
    <col min="6" max="6" width="11.33203125" customWidth="1"/>
    <col min="7" max="7" width="8.88671875" customWidth="1"/>
    <col min="10" max="10" width="23" bestFit="1" customWidth="1"/>
    <col min="11" max="11" width="26.21875" bestFit="1" customWidth="1"/>
  </cols>
  <sheetData>
    <row r="1" spans="1:5" ht="96.6" customHeight="1" x14ac:dyDescent="0.3">
      <c r="B1" s="127" t="s">
        <v>99</v>
      </c>
      <c r="C1" s="128"/>
      <c r="D1" s="25"/>
      <c r="E1" s="25"/>
    </row>
    <row r="2" spans="1:5" ht="26.25" customHeight="1" x14ac:dyDescent="0.25">
      <c r="A2" s="126" t="s">
        <v>116</v>
      </c>
      <c r="B2" s="126"/>
      <c r="C2" s="126"/>
      <c r="D2" s="25"/>
      <c r="E2" s="25"/>
    </row>
    <row r="3" spans="1:5" ht="15.6" x14ac:dyDescent="0.3">
      <c r="A3" s="129" t="s">
        <v>120</v>
      </c>
      <c r="B3" s="130"/>
      <c r="C3" s="131"/>
      <c r="D3" s="25"/>
      <c r="E3" s="25"/>
    </row>
    <row r="4" spans="1:5" ht="15.6" x14ac:dyDescent="0.3">
      <c r="A4" s="109"/>
      <c r="B4" s="109"/>
      <c r="C4" s="109"/>
      <c r="D4" s="25"/>
      <c r="E4" s="25"/>
    </row>
    <row r="5" spans="1:5" ht="16.2" thickBot="1" x14ac:dyDescent="0.35">
      <c r="C5" s="134" t="s">
        <v>111</v>
      </c>
      <c r="D5" s="135"/>
      <c r="E5" s="25"/>
    </row>
    <row r="6" spans="1:5" x14ac:dyDescent="0.25">
      <c r="A6" s="8" t="s">
        <v>30</v>
      </c>
      <c r="B6" s="113">
        <v>0</v>
      </c>
      <c r="C6" s="136" t="s">
        <v>121</v>
      </c>
      <c r="D6" s="137"/>
      <c r="E6" s="25"/>
    </row>
    <row r="7" spans="1:5" ht="13.8" thickBot="1" x14ac:dyDescent="0.3">
      <c r="A7" s="9" t="s">
        <v>15</v>
      </c>
      <c r="B7" s="114">
        <v>0</v>
      </c>
      <c r="C7" s="138"/>
      <c r="D7" s="139"/>
      <c r="E7" s="25"/>
    </row>
    <row r="8" spans="1:5" ht="13.8" thickBot="1" x14ac:dyDescent="0.3">
      <c r="B8" s="27"/>
      <c r="D8" s="25"/>
      <c r="E8" s="25"/>
    </row>
    <row r="9" spans="1:5" x14ac:dyDescent="0.25">
      <c r="A9" s="8" t="s">
        <v>31</v>
      </c>
      <c r="B9" s="113">
        <v>0</v>
      </c>
      <c r="C9" s="140" t="s">
        <v>121</v>
      </c>
      <c r="D9" s="139"/>
      <c r="E9" s="25"/>
    </row>
    <row r="10" spans="1:5" ht="13.8" thickBot="1" x14ac:dyDescent="0.3">
      <c r="A10" s="9" t="s">
        <v>15</v>
      </c>
      <c r="B10" s="114">
        <v>0</v>
      </c>
      <c r="C10" s="139"/>
      <c r="D10" s="139"/>
    </row>
    <row r="11" spans="1:5" ht="13.8" thickBot="1" x14ac:dyDescent="0.3">
      <c r="B11" s="27"/>
    </row>
    <row r="12" spans="1:5" x14ac:dyDescent="0.25">
      <c r="A12" s="8" t="s">
        <v>19</v>
      </c>
      <c r="B12" s="113">
        <v>0</v>
      </c>
      <c r="C12" s="140" t="s">
        <v>121</v>
      </c>
      <c r="D12" s="139"/>
    </row>
    <row r="13" spans="1:5" ht="13.8" thickBot="1" x14ac:dyDescent="0.3">
      <c r="A13" s="9" t="s">
        <v>15</v>
      </c>
      <c r="B13" s="114">
        <v>0</v>
      </c>
      <c r="C13" s="139"/>
      <c r="D13" s="139"/>
    </row>
    <row r="14" spans="1:5" ht="13.8" thickBot="1" x14ac:dyDescent="0.3">
      <c r="B14" s="27"/>
    </row>
    <row r="15" spans="1:5" x14ac:dyDescent="0.25">
      <c r="A15" s="8" t="s">
        <v>16</v>
      </c>
      <c r="B15" s="113">
        <v>0</v>
      </c>
      <c r="C15" s="141" t="s">
        <v>121</v>
      </c>
      <c r="D15" s="140"/>
    </row>
    <row r="16" spans="1:5" ht="13.8" thickBot="1" x14ac:dyDescent="0.3">
      <c r="A16" s="119" t="s">
        <v>145</v>
      </c>
      <c r="B16" s="114">
        <v>0</v>
      </c>
      <c r="C16" s="142" t="s">
        <v>146</v>
      </c>
      <c r="D16" s="143"/>
    </row>
    <row r="17" spans="1:4" ht="13.8" thickBot="1" x14ac:dyDescent="0.3">
      <c r="B17" s="27"/>
      <c r="C17" s="143"/>
      <c r="D17" s="143"/>
    </row>
    <row r="18" spans="1:4" x14ac:dyDescent="0.25">
      <c r="A18" s="8" t="s">
        <v>17</v>
      </c>
      <c r="B18" s="82"/>
    </row>
    <row r="19" spans="1:4" x14ac:dyDescent="0.25">
      <c r="A19" s="10" t="s">
        <v>18</v>
      </c>
      <c r="B19" s="83">
        <f>B6+B9-B15-B16</f>
        <v>0</v>
      </c>
    </row>
    <row r="20" spans="1:4" x14ac:dyDescent="0.25">
      <c r="A20" s="10" t="s">
        <v>19</v>
      </c>
      <c r="B20" s="83">
        <f>B12</f>
        <v>0</v>
      </c>
    </row>
    <row r="21" spans="1:4" x14ac:dyDescent="0.25">
      <c r="A21" s="10" t="s">
        <v>20</v>
      </c>
      <c r="B21" s="83">
        <f>'Fiscale Balans'!B61</f>
        <v>-54.800000000000011</v>
      </c>
    </row>
    <row r="22" spans="1:4" ht="13.8" thickBot="1" x14ac:dyDescent="0.3">
      <c r="A22" s="12" t="s">
        <v>22</v>
      </c>
      <c r="B22" s="84">
        <f>SUM(B19:B21)</f>
        <v>-54.800000000000011</v>
      </c>
    </row>
    <row r="23" spans="1:4" ht="13.8" thickBot="1" x14ac:dyDescent="0.3"/>
    <row r="24" spans="1:4" x14ac:dyDescent="0.25">
      <c r="A24" s="8"/>
      <c r="B24" s="103" t="s">
        <v>23</v>
      </c>
      <c r="C24" s="19" t="s">
        <v>24</v>
      </c>
    </row>
    <row r="25" spans="1:4" x14ac:dyDescent="0.25">
      <c r="A25" s="15" t="s">
        <v>25</v>
      </c>
      <c r="B25" s="93">
        <f>MIN(B22,$A$49-$A$48)</f>
        <v>-54.800000000000011</v>
      </c>
      <c r="C25" s="17">
        <f>MAX(ROUND(B49*B25,0),0)</f>
        <v>0</v>
      </c>
    </row>
    <row r="26" spans="1:4" x14ac:dyDescent="0.25">
      <c r="A26" s="15" t="s">
        <v>26</v>
      </c>
      <c r="B26" s="93">
        <f>MIN($A$50-$A$49,MAX(0,B22-B25))</f>
        <v>0</v>
      </c>
      <c r="C26" s="17">
        <f>ROUND(B50*B26,0)</f>
        <v>0</v>
      </c>
    </row>
    <row r="27" spans="1:4" x14ac:dyDescent="0.25">
      <c r="A27" s="15" t="s">
        <v>27</v>
      </c>
      <c r="B27" s="93">
        <f>MIN($A$51-$A$50,MAX(0,B22-B25-B26))</f>
        <v>0</v>
      </c>
      <c r="C27" s="17">
        <f t="shared" ref="C27:C28" si="0">ROUND(B51*B27,0)</f>
        <v>0</v>
      </c>
    </row>
    <row r="28" spans="1:4" x14ac:dyDescent="0.25">
      <c r="A28" s="15" t="s">
        <v>117</v>
      </c>
      <c r="B28" s="93">
        <f>MIN($A$52-$A$51,MAX(0,B22-B25-B26-B27))</f>
        <v>0</v>
      </c>
      <c r="C28" s="17">
        <f t="shared" si="0"/>
        <v>0</v>
      </c>
    </row>
    <row r="29" spans="1:4" x14ac:dyDescent="0.25">
      <c r="A29" s="15" t="s">
        <v>113</v>
      </c>
      <c r="B29" s="93">
        <f>B25+B26</f>
        <v>-54.800000000000011</v>
      </c>
      <c r="C29" s="17">
        <f>ROUND($C$49*B29,0)</f>
        <v>-15</v>
      </c>
    </row>
    <row r="30" spans="1:4" ht="13.8" thickBot="1" x14ac:dyDescent="0.3">
      <c r="A30" s="12"/>
      <c r="B30" s="102">
        <f>SUM(B25:B28)</f>
        <v>-54.800000000000011</v>
      </c>
      <c r="C30" s="104">
        <f>SUM(C25:C29)</f>
        <v>-15</v>
      </c>
    </row>
    <row r="31" spans="1:4" ht="13.8" thickBot="1" x14ac:dyDescent="0.3"/>
    <row r="32" spans="1:4" x14ac:dyDescent="0.25">
      <c r="A32" s="20" t="s">
        <v>28</v>
      </c>
      <c r="B32" s="21"/>
      <c r="C32" s="22">
        <f>B7+B10+B13</f>
        <v>0</v>
      </c>
    </row>
    <row r="33" spans="1:4" x14ac:dyDescent="0.25">
      <c r="A33" s="15" t="s">
        <v>114</v>
      </c>
      <c r="B33" s="24"/>
      <c r="C33" s="111">
        <v>-2594</v>
      </c>
    </row>
    <row r="34" spans="1:4" x14ac:dyDescent="0.25">
      <c r="A34" s="15" t="s">
        <v>36</v>
      </c>
      <c r="B34" s="24"/>
      <c r="C34" s="17">
        <f>C38+C39+C40</f>
        <v>2254</v>
      </c>
    </row>
    <row r="35" spans="1:4" ht="13.8" thickBot="1" x14ac:dyDescent="0.3">
      <c r="A35" s="12" t="s">
        <v>29</v>
      </c>
      <c r="B35" s="16"/>
      <c r="C35" s="18">
        <f>C30-C34-C33-C32</f>
        <v>325</v>
      </c>
    </row>
    <row r="36" spans="1:4" ht="13.8" thickBot="1" x14ac:dyDescent="0.3"/>
    <row r="37" spans="1:4" x14ac:dyDescent="0.25">
      <c r="A37" s="8"/>
      <c r="B37" s="19" t="s">
        <v>23</v>
      </c>
      <c r="C37" s="94" t="s">
        <v>35</v>
      </c>
    </row>
    <row r="38" spans="1:4" x14ac:dyDescent="0.25">
      <c r="A38" s="15" t="s">
        <v>33</v>
      </c>
      <c r="B38" s="17">
        <f>MAX(B22,0)</f>
        <v>0</v>
      </c>
      <c r="C38" s="83">
        <f>MAX(0,MIN(2254,2254-0.04787*(B38-19982)))</f>
        <v>2254</v>
      </c>
    </row>
    <row r="39" spans="1:4" x14ac:dyDescent="0.25">
      <c r="A39" s="15" t="s">
        <v>34</v>
      </c>
      <c r="B39" s="17">
        <f>MAX(B19+'Fiscale Balans'!B54,0)</f>
        <v>0</v>
      </c>
      <c r="C39" s="83">
        <f>MAX(0,MIN(165,0.01772*B39)+MAX(0,MIN(3058,0.28317*(B39-9309)))-MAX(0,0.036*(B39-32444)))</f>
        <v>0</v>
      </c>
    </row>
    <row r="40" spans="1:4" ht="13.8" thickBot="1" x14ac:dyDescent="0.3">
      <c r="A40" s="95" t="s">
        <v>118</v>
      </c>
      <c r="B40" s="23">
        <f>B39</f>
        <v>0</v>
      </c>
      <c r="C40" s="96">
        <f>IF(D40="TOEPASSEN",MAX(MIN(2778,0.06159*(B40-4895)+IF('Fiscale Balans'!B56&gt;0,1043,0)),IF('Fiscale Balans'!B56&gt;0,1043,0)),0)</f>
        <v>0</v>
      </c>
      <c r="D40" s="112" t="s">
        <v>115</v>
      </c>
    </row>
    <row r="41" spans="1:4" x14ac:dyDescent="0.25">
      <c r="D41" s="110" t="s">
        <v>119</v>
      </c>
    </row>
    <row r="42" spans="1:4" ht="13.8" thickBot="1" x14ac:dyDescent="0.3"/>
    <row r="43" spans="1:4" x14ac:dyDescent="0.25">
      <c r="A43" s="97" t="s">
        <v>112</v>
      </c>
      <c r="B43" s="107"/>
      <c r="C43" s="101">
        <f>(C46+C45)/C44</f>
        <v>3.25</v>
      </c>
    </row>
    <row r="44" spans="1:4" x14ac:dyDescent="0.25">
      <c r="A44" s="98" t="s">
        <v>96</v>
      </c>
      <c r="B44" s="108"/>
      <c r="C44" s="17">
        <f>'Fiscale Balans'!B22</f>
        <v>100</v>
      </c>
    </row>
    <row r="45" spans="1:4" x14ac:dyDescent="0.25">
      <c r="A45" s="85" t="s">
        <v>98</v>
      </c>
      <c r="B45" s="132">
        <f>SUM(C45:C46)</f>
        <v>325</v>
      </c>
      <c r="C45" s="17">
        <f>MAX(0,MIN(5.4%*B22,2899))</f>
        <v>0</v>
      </c>
    </row>
    <row r="46" spans="1:4" ht="13.8" thickBot="1" x14ac:dyDescent="0.3">
      <c r="A46" s="99" t="s">
        <v>97</v>
      </c>
      <c r="B46" s="133"/>
      <c r="C46" s="23">
        <f>C35</f>
        <v>325</v>
      </c>
      <c r="D46" s="100"/>
    </row>
    <row r="48" spans="1:4" hidden="1" x14ac:dyDescent="0.25">
      <c r="A48" s="11">
        <v>0</v>
      </c>
    </row>
    <row r="49" spans="1:3" hidden="1" x14ac:dyDescent="0.25">
      <c r="A49" s="11">
        <v>19982</v>
      </c>
      <c r="B49" s="13">
        <f>36.55%-C49</f>
        <v>8.8999999999999968E-2</v>
      </c>
      <c r="C49" s="106">
        <v>0.27650000000000002</v>
      </c>
    </row>
    <row r="50" spans="1:3" hidden="1" x14ac:dyDescent="0.25">
      <c r="A50" s="11">
        <v>33791</v>
      </c>
      <c r="B50" s="13">
        <f>40.8%-C50</f>
        <v>0.13149999999999995</v>
      </c>
      <c r="C50" s="106">
        <v>0.27650000000000002</v>
      </c>
    </row>
    <row r="51" spans="1:3" hidden="1" x14ac:dyDescent="0.25">
      <c r="A51" s="11">
        <v>67072</v>
      </c>
      <c r="B51" s="13">
        <f>40.8%-C51</f>
        <v>0.40799999999999997</v>
      </c>
    </row>
    <row r="52" spans="1:3" hidden="1" x14ac:dyDescent="0.25">
      <c r="A52" s="11">
        <v>500000</v>
      </c>
      <c r="B52" s="14">
        <v>0.52</v>
      </c>
    </row>
  </sheetData>
  <sheetProtection sheet="1" objects="1" scenarios="1"/>
  <mergeCells count="10">
    <mergeCell ref="A2:C2"/>
    <mergeCell ref="B1:C1"/>
    <mergeCell ref="B45:B46"/>
    <mergeCell ref="A3:C3"/>
    <mergeCell ref="C5:D5"/>
    <mergeCell ref="C6:D7"/>
    <mergeCell ref="C9:D10"/>
    <mergeCell ref="C12:D13"/>
    <mergeCell ref="C15:D15"/>
    <mergeCell ref="C16:D17"/>
  </mergeCells>
  <dataValidations count="1">
    <dataValidation type="list" allowBlank="1" showInputMessage="1" showErrorMessage="1" sqref="D40" xr:uid="{EB75E9A2-ECAA-4A5F-BAFB-AE13D49C3DF8}">
      <formula1>"TOEPASSEN,NIET TOEPASSEN"</formula1>
    </dataValidation>
  </dataValidations>
  <hyperlinks>
    <hyperlink ref="D41" r:id="rId1" xr:uid="{2FD2CDC8-F0EA-4B5A-94DA-09F2C94743B9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workbookViewId="0">
      <selection activeCell="H52" sqref="H52"/>
    </sheetView>
  </sheetViews>
  <sheetFormatPr defaultRowHeight="13.2" x14ac:dyDescent="0.25"/>
  <cols>
    <col min="1" max="1" width="39.88671875" customWidth="1"/>
    <col min="2" max="2" width="0" hidden="1" customWidth="1"/>
    <col min="3" max="3" width="10.6640625" customWidth="1"/>
    <col min="4" max="4" width="12.44140625" bestFit="1" customWidth="1"/>
    <col min="5" max="10" width="10.6640625" customWidth="1"/>
    <col min="11" max="11" width="11.88671875" bestFit="1" customWidth="1"/>
    <col min="12" max="12" width="11.77734375" bestFit="1" customWidth="1"/>
    <col min="13" max="13" width="2.44140625" customWidth="1"/>
    <col min="14" max="15" width="10.88671875" customWidth="1"/>
  </cols>
  <sheetData>
    <row r="1" spans="1:15" x14ac:dyDescent="0.25">
      <c r="A1" s="25"/>
      <c r="B1" s="25"/>
    </row>
    <row r="2" spans="1:15" x14ac:dyDescent="0.25">
      <c r="A2" s="25"/>
      <c r="B2" s="25"/>
    </row>
    <row r="3" spans="1:15" x14ac:dyDescent="0.25">
      <c r="A3" s="25"/>
      <c r="B3" s="25"/>
    </row>
    <row r="4" spans="1:15" x14ac:dyDescent="0.25">
      <c r="A4" s="25"/>
      <c r="B4" s="25"/>
    </row>
    <row r="5" spans="1:15" x14ac:dyDescent="0.25">
      <c r="A5" s="25"/>
      <c r="B5" s="25"/>
    </row>
    <row r="6" spans="1:15" x14ac:dyDescent="0.25">
      <c r="A6" s="25"/>
      <c r="B6" s="25"/>
    </row>
    <row r="7" spans="1:15" x14ac:dyDescent="0.25">
      <c r="A7" s="25"/>
      <c r="B7" s="25"/>
    </row>
    <row r="8" spans="1:15" ht="28.8" customHeight="1" x14ac:dyDescent="0.25">
      <c r="A8" s="5" t="s">
        <v>162</v>
      </c>
    </row>
    <row r="9" spans="1:15" x14ac:dyDescent="0.25">
      <c r="A9" s="149" t="s">
        <v>57</v>
      </c>
      <c r="B9" s="149"/>
      <c r="C9" s="150"/>
      <c r="D9" s="151"/>
    </row>
    <row r="10" spans="1:15" x14ac:dyDescent="0.25">
      <c r="A10" s="149" t="s">
        <v>58</v>
      </c>
      <c r="B10" s="149"/>
      <c r="C10" s="151"/>
      <c r="D10" s="151"/>
    </row>
    <row r="12" spans="1:15" x14ac:dyDescent="0.25">
      <c r="A12" s="146" t="s">
        <v>59</v>
      </c>
      <c r="B12" s="148"/>
      <c r="C12" s="61" t="s">
        <v>90</v>
      </c>
      <c r="D12" s="123">
        <v>1</v>
      </c>
      <c r="E12" s="61" t="s">
        <v>90</v>
      </c>
      <c r="F12" s="59">
        <v>2</v>
      </c>
      <c r="G12" s="61" t="s">
        <v>90</v>
      </c>
      <c r="H12" s="59">
        <v>3</v>
      </c>
      <c r="I12" s="61" t="s">
        <v>90</v>
      </c>
      <c r="J12" s="59">
        <v>4</v>
      </c>
      <c r="K12" s="145" t="s">
        <v>60</v>
      </c>
      <c r="L12" s="145"/>
      <c r="N12" s="144" t="s">
        <v>91</v>
      </c>
      <c r="O12" s="144"/>
    </row>
    <row r="13" spans="1:15" x14ac:dyDescent="0.25">
      <c r="A13" s="146"/>
      <c r="B13" s="147"/>
      <c r="C13" s="60" t="s">
        <v>23</v>
      </c>
      <c r="D13" s="60" t="s">
        <v>61</v>
      </c>
      <c r="E13" s="30" t="s">
        <v>23</v>
      </c>
      <c r="F13" s="30" t="s">
        <v>61</v>
      </c>
      <c r="G13" s="30" t="s">
        <v>23</v>
      </c>
      <c r="H13" s="30" t="s">
        <v>61</v>
      </c>
      <c r="I13" s="30" t="s">
        <v>23</v>
      </c>
      <c r="J13" s="30" t="s">
        <v>61</v>
      </c>
      <c r="K13" s="30" t="s">
        <v>23</v>
      </c>
      <c r="L13" s="30" t="s">
        <v>61</v>
      </c>
      <c r="N13" s="63" t="s">
        <v>23</v>
      </c>
      <c r="O13" s="63" t="s">
        <v>61</v>
      </c>
    </row>
    <row r="14" spans="1:15" x14ac:dyDescent="0.25">
      <c r="A14" t="s">
        <v>62</v>
      </c>
      <c r="B14" s="14">
        <v>0.21</v>
      </c>
      <c r="C14" s="31">
        <v>0</v>
      </c>
      <c r="D14" s="32">
        <f>ROUNDDOWN(C14*BTW_hoog,0)</f>
        <v>0</v>
      </c>
      <c r="E14" s="31">
        <v>0</v>
      </c>
      <c r="F14" s="32">
        <f>ROUNDDOWN(E14*BTW_hoog,0)</f>
        <v>0</v>
      </c>
      <c r="G14" s="31">
        <v>0</v>
      </c>
      <c r="H14" s="32">
        <f>ROUNDDOWN(G14*BTW_hoog,0)</f>
        <v>0</v>
      </c>
      <c r="I14" s="31">
        <v>0</v>
      </c>
      <c r="J14" s="32">
        <f>ROUNDDOWN(I14*BTW_hoog,0)</f>
        <v>0</v>
      </c>
      <c r="K14" s="31">
        <f>C14+E14+G14+I14</f>
        <v>0</v>
      </c>
      <c r="L14" s="32">
        <f>D14+F14+H14+J14</f>
        <v>0</v>
      </c>
      <c r="N14" s="64">
        <f>K33-K14</f>
        <v>0</v>
      </c>
      <c r="O14" s="65">
        <f>L33-L14</f>
        <v>0</v>
      </c>
    </row>
    <row r="15" spans="1:15" x14ac:dyDescent="0.25">
      <c r="A15" t="s">
        <v>63</v>
      </c>
      <c r="B15" s="14">
        <v>0.06</v>
      </c>
      <c r="C15" s="33">
        <v>0</v>
      </c>
      <c r="D15" s="34">
        <f>ROUNDDOWN(C15*BTW_laag,0)</f>
        <v>0</v>
      </c>
      <c r="E15" s="33">
        <v>0</v>
      </c>
      <c r="F15" s="34">
        <f>ROUNDDOWN(E15*BTW_laag,0)</f>
        <v>0</v>
      </c>
      <c r="G15" s="33">
        <v>0</v>
      </c>
      <c r="H15" s="34">
        <f>ROUNDDOWN(G15*BTW_laag,0)</f>
        <v>0</v>
      </c>
      <c r="I15" s="33">
        <v>0</v>
      </c>
      <c r="J15" s="34">
        <f>ROUNDDOWN(I15*BTW_laag,0)</f>
        <v>0</v>
      </c>
      <c r="K15" s="33">
        <f t="shared" ref="K15:L29" si="0">C15+E15+G15+I15</f>
        <v>0</v>
      </c>
      <c r="L15" s="34">
        <f t="shared" si="0"/>
        <v>0</v>
      </c>
      <c r="N15" s="66">
        <f t="shared" ref="N15:O29" si="1">K34-K15</f>
        <v>0</v>
      </c>
      <c r="O15" s="67">
        <f t="shared" si="1"/>
        <v>0</v>
      </c>
    </row>
    <row r="16" spans="1:15" x14ac:dyDescent="0.25">
      <c r="A16" t="s">
        <v>64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f t="shared" si="0"/>
        <v>0</v>
      </c>
      <c r="L16" s="34">
        <f t="shared" si="0"/>
        <v>0</v>
      </c>
      <c r="N16" s="66">
        <f t="shared" si="1"/>
        <v>0</v>
      </c>
      <c r="O16" s="67">
        <f t="shared" si="1"/>
        <v>0</v>
      </c>
    </row>
    <row r="17" spans="1:15" x14ac:dyDescent="0.25">
      <c r="A17" t="s">
        <v>65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f t="shared" si="0"/>
        <v>0</v>
      </c>
      <c r="L17" s="34">
        <f t="shared" si="0"/>
        <v>0</v>
      </c>
      <c r="N17" s="66">
        <f t="shared" si="1"/>
        <v>0</v>
      </c>
      <c r="O17" s="67">
        <f t="shared" si="1"/>
        <v>0</v>
      </c>
    </row>
    <row r="18" spans="1:15" x14ac:dyDescent="0.25">
      <c r="A18" t="s">
        <v>66</v>
      </c>
      <c r="B18" s="14"/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f t="shared" si="0"/>
        <v>0</v>
      </c>
      <c r="L18" s="34">
        <f t="shared" si="0"/>
        <v>0</v>
      </c>
      <c r="N18" s="66">
        <f t="shared" si="1"/>
        <v>0</v>
      </c>
      <c r="O18" s="67">
        <f t="shared" si="1"/>
        <v>0</v>
      </c>
    </row>
    <row r="19" spans="1:15" x14ac:dyDescent="0.25">
      <c r="A19" t="s">
        <v>67</v>
      </c>
      <c r="C19" s="35">
        <v>0</v>
      </c>
      <c r="D19" s="36">
        <v>0</v>
      </c>
      <c r="E19" s="35">
        <v>0</v>
      </c>
      <c r="F19" s="36">
        <v>0</v>
      </c>
      <c r="G19" s="35">
        <v>0</v>
      </c>
      <c r="H19" s="36">
        <v>0</v>
      </c>
      <c r="I19" s="35">
        <v>0</v>
      </c>
      <c r="J19" s="36">
        <v>0</v>
      </c>
      <c r="K19" s="35">
        <f t="shared" si="0"/>
        <v>0</v>
      </c>
      <c r="L19" s="36">
        <f t="shared" si="0"/>
        <v>0</v>
      </c>
      <c r="N19" s="68">
        <f t="shared" si="1"/>
        <v>0</v>
      </c>
      <c r="O19" s="69">
        <f t="shared" si="1"/>
        <v>0</v>
      </c>
    </row>
    <row r="20" spans="1:15" x14ac:dyDescent="0.25">
      <c r="A20" t="s">
        <v>68</v>
      </c>
      <c r="C20" s="37">
        <v>0</v>
      </c>
      <c r="D20" s="38">
        <v>0</v>
      </c>
      <c r="E20" s="37">
        <v>0</v>
      </c>
      <c r="F20" s="38">
        <v>0</v>
      </c>
      <c r="G20" s="37">
        <v>0</v>
      </c>
      <c r="H20" s="38">
        <v>0</v>
      </c>
      <c r="I20" s="37">
        <v>0</v>
      </c>
      <c r="J20" s="38">
        <v>0</v>
      </c>
      <c r="K20" s="37">
        <f t="shared" si="0"/>
        <v>0</v>
      </c>
      <c r="L20" s="38">
        <f t="shared" si="0"/>
        <v>0</v>
      </c>
      <c r="N20" s="70">
        <f t="shared" si="1"/>
        <v>0</v>
      </c>
      <c r="O20" s="71">
        <f t="shared" si="1"/>
        <v>0</v>
      </c>
    </row>
    <row r="21" spans="1:15" x14ac:dyDescent="0.25">
      <c r="A21" t="s">
        <v>69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f t="shared" si="0"/>
        <v>0</v>
      </c>
      <c r="L21" s="34">
        <f t="shared" si="0"/>
        <v>0</v>
      </c>
      <c r="N21" s="66">
        <f t="shared" si="1"/>
        <v>0</v>
      </c>
      <c r="O21" s="67">
        <f t="shared" si="1"/>
        <v>0</v>
      </c>
    </row>
    <row r="22" spans="1:15" x14ac:dyDescent="0.25">
      <c r="A22" t="s">
        <v>70</v>
      </c>
      <c r="C22" s="39">
        <v>0</v>
      </c>
      <c r="D22" s="40">
        <v>0</v>
      </c>
      <c r="E22" s="39">
        <v>0</v>
      </c>
      <c r="F22" s="40">
        <v>0</v>
      </c>
      <c r="G22" s="39">
        <v>0</v>
      </c>
      <c r="H22" s="40">
        <v>0</v>
      </c>
      <c r="I22" s="39">
        <v>0</v>
      </c>
      <c r="J22" s="40">
        <v>0</v>
      </c>
      <c r="K22" s="39">
        <f t="shared" si="0"/>
        <v>0</v>
      </c>
      <c r="L22" s="40">
        <f t="shared" si="0"/>
        <v>0</v>
      </c>
      <c r="N22" s="72">
        <f t="shared" si="1"/>
        <v>0</v>
      </c>
      <c r="O22" s="73">
        <f t="shared" si="1"/>
        <v>0</v>
      </c>
    </row>
    <row r="23" spans="1:15" x14ac:dyDescent="0.25">
      <c r="A23" t="s">
        <v>71</v>
      </c>
      <c r="C23" s="37">
        <v>0</v>
      </c>
      <c r="D23" s="38">
        <v>0</v>
      </c>
      <c r="E23" s="37">
        <v>0</v>
      </c>
      <c r="F23" s="38">
        <v>0</v>
      </c>
      <c r="G23" s="37">
        <v>0</v>
      </c>
      <c r="H23" s="38">
        <v>0</v>
      </c>
      <c r="I23" s="37">
        <v>0</v>
      </c>
      <c r="J23" s="38">
        <v>0</v>
      </c>
      <c r="K23" s="37">
        <f t="shared" si="0"/>
        <v>0</v>
      </c>
      <c r="L23" s="38">
        <f t="shared" si="0"/>
        <v>0</v>
      </c>
      <c r="N23" s="70">
        <f t="shared" si="1"/>
        <v>0</v>
      </c>
      <c r="O23" s="71">
        <f t="shared" si="1"/>
        <v>0</v>
      </c>
    </row>
    <row r="24" spans="1:15" ht="13.8" thickBot="1" x14ac:dyDescent="0.3">
      <c r="A24" t="s">
        <v>72</v>
      </c>
      <c r="C24" s="41">
        <v>0</v>
      </c>
      <c r="D24" s="42">
        <v>0</v>
      </c>
      <c r="E24" s="41">
        <v>0</v>
      </c>
      <c r="F24" s="42">
        <v>0</v>
      </c>
      <c r="G24" s="41">
        <v>0</v>
      </c>
      <c r="H24" s="42">
        <v>0</v>
      </c>
      <c r="I24" s="41">
        <v>0</v>
      </c>
      <c r="J24" s="42">
        <v>0</v>
      </c>
      <c r="K24" s="41">
        <f t="shared" si="0"/>
        <v>0</v>
      </c>
      <c r="L24" s="42">
        <f t="shared" si="0"/>
        <v>0</v>
      </c>
      <c r="N24" s="74">
        <f t="shared" si="1"/>
        <v>0</v>
      </c>
      <c r="O24" s="75">
        <f t="shared" si="1"/>
        <v>0</v>
      </c>
    </row>
    <row r="25" spans="1:15" ht="13.8" thickTop="1" x14ac:dyDescent="0.25">
      <c r="A25" t="s">
        <v>73</v>
      </c>
      <c r="C25" s="37"/>
      <c r="D25" s="38">
        <f>SUM(D14:D24)</f>
        <v>0</v>
      </c>
      <c r="E25" s="37"/>
      <c r="F25" s="38">
        <f>SUM(F14:F24)</f>
        <v>0</v>
      </c>
      <c r="G25" s="37"/>
      <c r="H25" s="38">
        <f>SUM(H14:H24)</f>
        <v>0</v>
      </c>
      <c r="I25" s="37"/>
      <c r="J25" s="38">
        <f>SUM(J14:J24)</f>
        <v>0</v>
      </c>
      <c r="K25" s="37"/>
      <c r="L25" s="38">
        <f t="shared" si="0"/>
        <v>0</v>
      </c>
      <c r="N25" s="70"/>
      <c r="O25" s="71">
        <f t="shared" si="1"/>
        <v>0</v>
      </c>
    </row>
    <row r="26" spans="1:15" ht="13.8" thickBot="1" x14ac:dyDescent="0.3">
      <c r="A26" t="s">
        <v>74</v>
      </c>
      <c r="C26" s="41"/>
      <c r="D26" s="42">
        <v>0</v>
      </c>
      <c r="E26" s="41"/>
      <c r="F26" s="42">
        <v>0</v>
      </c>
      <c r="G26" s="41"/>
      <c r="H26" s="42">
        <v>0</v>
      </c>
      <c r="I26" s="41"/>
      <c r="J26" s="42">
        <v>0</v>
      </c>
      <c r="K26" s="41"/>
      <c r="L26" s="42">
        <v>0</v>
      </c>
      <c r="N26" s="74"/>
      <c r="O26" s="75">
        <f t="shared" si="1"/>
        <v>0</v>
      </c>
    </row>
    <row r="27" spans="1:15" ht="13.8" thickTop="1" x14ac:dyDescent="0.25">
      <c r="A27" t="s">
        <v>75</v>
      </c>
      <c r="C27" s="37"/>
      <c r="D27" s="38">
        <f>D25-D26</f>
        <v>0</v>
      </c>
      <c r="E27" s="37"/>
      <c r="F27" s="38">
        <f>F25-F26</f>
        <v>0</v>
      </c>
      <c r="G27" s="37"/>
      <c r="H27" s="38">
        <f>H25-H26</f>
        <v>0</v>
      </c>
      <c r="I27" s="37"/>
      <c r="J27" s="38">
        <f>J25-J26</f>
        <v>0</v>
      </c>
      <c r="K27" s="37"/>
      <c r="L27" s="38">
        <f t="shared" si="0"/>
        <v>0</v>
      </c>
      <c r="N27" s="70"/>
      <c r="O27" s="71">
        <f t="shared" si="1"/>
        <v>0</v>
      </c>
    </row>
    <row r="28" spans="1:15" ht="13.8" thickBot="1" x14ac:dyDescent="0.3">
      <c r="A28" t="s">
        <v>76</v>
      </c>
      <c r="C28" s="41"/>
      <c r="D28" s="42">
        <v>0</v>
      </c>
      <c r="E28" s="41"/>
      <c r="F28" s="42">
        <v>0</v>
      </c>
      <c r="G28" s="41"/>
      <c r="H28" s="42">
        <v>0</v>
      </c>
      <c r="I28" s="41"/>
      <c r="J28" s="42">
        <v>0</v>
      </c>
      <c r="K28" s="41"/>
      <c r="L28" s="42">
        <f t="shared" si="0"/>
        <v>0</v>
      </c>
      <c r="N28" s="74"/>
      <c r="O28" s="75">
        <f t="shared" si="1"/>
        <v>0</v>
      </c>
    </row>
    <row r="29" spans="1:15" ht="13.8" thickTop="1" x14ac:dyDescent="0.25">
      <c r="A29" t="s">
        <v>77</v>
      </c>
      <c r="D29" s="43">
        <f>D27-D28</f>
        <v>0</v>
      </c>
      <c r="F29" s="43">
        <f>F27-F28</f>
        <v>0</v>
      </c>
      <c r="H29" s="43">
        <f>H27-H28</f>
        <v>0</v>
      </c>
      <c r="J29" s="43">
        <f>J27-J28</f>
        <v>0</v>
      </c>
      <c r="L29" s="44">
        <f t="shared" si="0"/>
        <v>0</v>
      </c>
      <c r="N29" s="76"/>
      <c r="O29" s="77">
        <f t="shared" si="1"/>
        <v>0</v>
      </c>
    </row>
    <row r="31" spans="1:15" x14ac:dyDescent="0.25">
      <c r="A31" s="146" t="s">
        <v>78</v>
      </c>
      <c r="B31" s="147"/>
      <c r="C31" s="61" t="s">
        <v>90</v>
      </c>
      <c r="D31" s="59">
        <v>1</v>
      </c>
      <c r="E31" s="61" t="s">
        <v>90</v>
      </c>
      <c r="F31" s="59">
        <v>2</v>
      </c>
      <c r="G31" s="61" t="s">
        <v>90</v>
      </c>
      <c r="H31" s="59">
        <v>3</v>
      </c>
      <c r="I31" s="61" t="s">
        <v>90</v>
      </c>
      <c r="J31" s="59">
        <v>4</v>
      </c>
      <c r="K31" s="145" t="s">
        <v>60</v>
      </c>
      <c r="L31" s="145"/>
    </row>
    <row r="32" spans="1:15" x14ac:dyDescent="0.25">
      <c r="A32" s="146"/>
      <c r="B32" s="147"/>
      <c r="C32" s="30" t="s">
        <v>23</v>
      </c>
      <c r="D32" s="30" t="s">
        <v>61</v>
      </c>
      <c r="E32" s="30" t="s">
        <v>23</v>
      </c>
      <c r="F32" s="30" t="s">
        <v>61</v>
      </c>
      <c r="G32" s="30" t="s">
        <v>23</v>
      </c>
      <c r="H32" s="30" t="s">
        <v>61</v>
      </c>
      <c r="I32" s="30" t="s">
        <v>23</v>
      </c>
      <c r="J32" s="30" t="s">
        <v>61</v>
      </c>
      <c r="K32" s="30" t="s">
        <v>23</v>
      </c>
      <c r="L32" s="30" t="s">
        <v>61</v>
      </c>
    </row>
    <row r="33" spans="1:12" x14ac:dyDescent="0.25">
      <c r="A33" t="s">
        <v>79</v>
      </c>
      <c r="B33" s="14">
        <v>0.21</v>
      </c>
      <c r="C33" s="31">
        <v>0</v>
      </c>
      <c r="D33" s="46">
        <v>0</v>
      </c>
      <c r="E33" s="31">
        <v>0</v>
      </c>
      <c r="F33" s="46">
        <v>0</v>
      </c>
      <c r="G33" s="31">
        <v>0</v>
      </c>
      <c r="H33" s="46">
        <v>0</v>
      </c>
      <c r="I33" s="31">
        <v>0</v>
      </c>
      <c r="J33" s="46">
        <v>0</v>
      </c>
      <c r="K33" s="45">
        <f>C33+E33+G33+I33</f>
        <v>0</v>
      </c>
      <c r="L33" s="46">
        <f>D33+F33+H33+J33</f>
        <v>0</v>
      </c>
    </row>
    <row r="34" spans="1:12" x14ac:dyDescent="0.25">
      <c r="A34" t="s">
        <v>80</v>
      </c>
      <c r="B34" s="14">
        <v>0.06</v>
      </c>
      <c r="C34" s="47">
        <v>0</v>
      </c>
      <c r="D34" s="48">
        <f>ROUNDDOWN(C34*BTW_laag,0)</f>
        <v>0</v>
      </c>
      <c r="E34" s="47">
        <v>0</v>
      </c>
      <c r="F34" s="48">
        <f>ROUNDDOWN(E34*BTW_laag,0)</f>
        <v>0</v>
      </c>
      <c r="G34" s="47">
        <v>0</v>
      </c>
      <c r="H34" s="48">
        <f>ROUNDDOWN(G34*BTW_laag,0)</f>
        <v>0</v>
      </c>
      <c r="I34" s="47">
        <v>0</v>
      </c>
      <c r="J34" s="48">
        <f>ROUNDDOWN(I34*BTW_laag,0)</f>
        <v>0</v>
      </c>
      <c r="K34" s="47">
        <f t="shared" ref="K34:L48" si="2">C34+E34+G34+I34</f>
        <v>0</v>
      </c>
      <c r="L34" s="48">
        <f t="shared" si="2"/>
        <v>0</v>
      </c>
    </row>
    <row r="35" spans="1:12" hidden="1" x14ac:dyDescent="0.25">
      <c r="A35" t="s">
        <v>81</v>
      </c>
      <c r="C35" s="47">
        <v>0</v>
      </c>
      <c r="D35" s="48">
        <v>0</v>
      </c>
      <c r="E35" s="47">
        <v>0</v>
      </c>
      <c r="F35" s="48">
        <v>0</v>
      </c>
      <c r="G35" s="47">
        <v>0</v>
      </c>
      <c r="H35" s="48">
        <v>0</v>
      </c>
      <c r="I35" s="47">
        <v>0</v>
      </c>
      <c r="J35" s="48">
        <v>0</v>
      </c>
      <c r="K35" s="47">
        <f t="shared" si="2"/>
        <v>0</v>
      </c>
      <c r="L35" s="48">
        <f t="shared" si="2"/>
        <v>0</v>
      </c>
    </row>
    <row r="36" spans="1:12" hidden="1" x14ac:dyDescent="0.25">
      <c r="A36" t="s">
        <v>82</v>
      </c>
      <c r="C36" s="47">
        <v>0</v>
      </c>
      <c r="D36" s="48">
        <v>0</v>
      </c>
      <c r="E36" s="47">
        <v>0</v>
      </c>
      <c r="F36" s="48">
        <v>0</v>
      </c>
      <c r="G36" s="47">
        <v>0</v>
      </c>
      <c r="H36" s="48">
        <v>0</v>
      </c>
      <c r="I36" s="47">
        <v>0</v>
      </c>
      <c r="J36" s="48">
        <v>0</v>
      </c>
      <c r="K36" s="47">
        <f t="shared" si="2"/>
        <v>0</v>
      </c>
      <c r="L36" s="48">
        <f t="shared" si="2"/>
        <v>0</v>
      </c>
    </row>
    <row r="37" spans="1:12" hidden="1" x14ac:dyDescent="0.25">
      <c r="A37" t="s">
        <v>83</v>
      </c>
      <c r="B37" s="14"/>
      <c r="C37" s="47">
        <v>0</v>
      </c>
      <c r="D37" s="48">
        <v>0</v>
      </c>
      <c r="E37" s="47">
        <v>0</v>
      </c>
      <c r="F37" s="48">
        <v>0</v>
      </c>
      <c r="G37" s="47">
        <v>0</v>
      </c>
      <c r="H37" s="48">
        <v>0</v>
      </c>
      <c r="I37" s="47">
        <v>0</v>
      </c>
      <c r="J37" s="48">
        <v>0</v>
      </c>
      <c r="K37" s="47">
        <f t="shared" si="2"/>
        <v>0</v>
      </c>
      <c r="L37" s="48">
        <f t="shared" si="2"/>
        <v>0</v>
      </c>
    </row>
    <row r="38" spans="1:12" hidden="1" x14ac:dyDescent="0.25">
      <c r="A38" t="s">
        <v>84</v>
      </c>
      <c r="C38" s="49">
        <v>0</v>
      </c>
      <c r="D38" s="50">
        <v>0</v>
      </c>
      <c r="E38" s="49">
        <v>0</v>
      </c>
      <c r="F38" s="50">
        <v>0</v>
      </c>
      <c r="G38" s="49">
        <v>0</v>
      </c>
      <c r="H38" s="50">
        <v>0</v>
      </c>
      <c r="I38" s="49">
        <v>0</v>
      </c>
      <c r="J38" s="50">
        <v>0</v>
      </c>
      <c r="K38" s="49">
        <f t="shared" si="2"/>
        <v>0</v>
      </c>
      <c r="L38" s="50">
        <f t="shared" si="2"/>
        <v>0</v>
      </c>
    </row>
    <row r="39" spans="1:12" hidden="1" x14ac:dyDescent="0.25">
      <c r="A39" t="s">
        <v>85</v>
      </c>
      <c r="C39" s="51">
        <v>0</v>
      </c>
      <c r="D39" s="52">
        <v>0</v>
      </c>
      <c r="E39" s="51">
        <v>0</v>
      </c>
      <c r="F39" s="52">
        <v>0</v>
      </c>
      <c r="G39" s="51">
        <v>0</v>
      </c>
      <c r="H39" s="52">
        <v>0</v>
      </c>
      <c r="I39" s="51">
        <v>0</v>
      </c>
      <c r="J39" s="52">
        <v>0</v>
      </c>
      <c r="K39" s="51">
        <f t="shared" si="2"/>
        <v>0</v>
      </c>
      <c r="L39" s="52">
        <f t="shared" si="2"/>
        <v>0</v>
      </c>
    </row>
    <row r="40" spans="1:12" x14ac:dyDescent="0.25">
      <c r="A40" t="s">
        <v>86</v>
      </c>
      <c r="C40" s="47">
        <v>0</v>
      </c>
      <c r="D40" s="48">
        <f>C40*0.21</f>
        <v>0</v>
      </c>
      <c r="E40" s="47">
        <v>0</v>
      </c>
      <c r="F40" s="48">
        <v>0</v>
      </c>
      <c r="G40" s="47">
        <v>0</v>
      </c>
      <c r="H40" s="48">
        <v>0</v>
      </c>
      <c r="I40" s="47">
        <v>0</v>
      </c>
      <c r="J40" s="48">
        <v>0</v>
      </c>
      <c r="K40" s="47">
        <f t="shared" si="2"/>
        <v>0</v>
      </c>
      <c r="L40" s="48">
        <f t="shared" si="2"/>
        <v>0</v>
      </c>
    </row>
    <row r="41" spans="1:12" hidden="1" x14ac:dyDescent="0.25">
      <c r="A41" t="s">
        <v>87</v>
      </c>
      <c r="C41" s="53">
        <v>0</v>
      </c>
      <c r="D41" s="54">
        <v>0</v>
      </c>
      <c r="E41" s="53">
        <v>0</v>
      </c>
      <c r="F41" s="54">
        <v>0</v>
      </c>
      <c r="G41" s="53">
        <v>0</v>
      </c>
      <c r="H41" s="54">
        <v>0</v>
      </c>
      <c r="I41" s="53">
        <v>0</v>
      </c>
      <c r="J41" s="54">
        <v>0</v>
      </c>
      <c r="K41" s="53">
        <f t="shared" si="2"/>
        <v>0</v>
      </c>
      <c r="L41" s="54">
        <f t="shared" si="2"/>
        <v>0</v>
      </c>
    </row>
    <row r="42" spans="1:12" hidden="1" x14ac:dyDescent="0.25">
      <c r="A42" t="s">
        <v>88</v>
      </c>
      <c r="C42" s="51">
        <v>0</v>
      </c>
      <c r="D42" s="52">
        <v>0</v>
      </c>
      <c r="E42" s="51">
        <v>0</v>
      </c>
      <c r="F42" s="52">
        <v>0</v>
      </c>
      <c r="G42" s="51">
        <v>0</v>
      </c>
      <c r="H42" s="52">
        <v>0</v>
      </c>
      <c r="I42" s="51">
        <v>0</v>
      </c>
      <c r="J42" s="52">
        <v>0</v>
      </c>
      <c r="K42" s="51">
        <f t="shared" si="2"/>
        <v>0</v>
      </c>
      <c r="L42" s="52">
        <f t="shared" si="2"/>
        <v>0</v>
      </c>
    </row>
    <row r="43" spans="1:12" ht="13.8" hidden="1" thickBot="1" x14ac:dyDescent="0.3">
      <c r="A43" t="s">
        <v>89</v>
      </c>
      <c r="C43" s="55">
        <v>0</v>
      </c>
      <c r="D43" s="56">
        <v>0</v>
      </c>
      <c r="E43" s="55">
        <v>0</v>
      </c>
      <c r="F43" s="56">
        <v>0</v>
      </c>
      <c r="G43" s="55">
        <v>0</v>
      </c>
      <c r="H43" s="56">
        <v>0</v>
      </c>
      <c r="I43" s="55">
        <v>0</v>
      </c>
      <c r="J43" s="56">
        <v>0</v>
      </c>
      <c r="K43" s="55">
        <f t="shared" si="2"/>
        <v>0</v>
      </c>
      <c r="L43" s="56">
        <f t="shared" si="2"/>
        <v>0</v>
      </c>
    </row>
    <row r="44" spans="1:12" x14ac:dyDescent="0.25">
      <c r="A44" t="s">
        <v>73</v>
      </c>
      <c r="C44" s="51"/>
      <c r="D44" s="52">
        <f>SUM(D33:D43)</f>
        <v>0</v>
      </c>
      <c r="E44" s="51"/>
      <c r="F44" s="52">
        <f>SUM(F33:F43)</f>
        <v>0</v>
      </c>
      <c r="G44" s="51"/>
      <c r="H44" s="52">
        <f>SUM(H33:H43)</f>
        <v>0</v>
      </c>
      <c r="I44" s="51"/>
      <c r="J44" s="52">
        <f>SUM(J33:J43)</f>
        <v>0</v>
      </c>
      <c r="K44" s="51"/>
      <c r="L44" s="52">
        <f t="shared" si="2"/>
        <v>0</v>
      </c>
    </row>
    <row r="45" spans="1:12" ht="13.8" thickBot="1" x14ac:dyDescent="0.3">
      <c r="A45" t="s">
        <v>74</v>
      </c>
      <c r="C45" s="55"/>
      <c r="D45" s="56">
        <v>0</v>
      </c>
      <c r="E45" s="55"/>
      <c r="F45" s="56">
        <v>0</v>
      </c>
      <c r="G45" s="55"/>
      <c r="H45" s="56">
        <v>0</v>
      </c>
      <c r="I45" s="55"/>
      <c r="J45" s="56">
        <v>0</v>
      </c>
      <c r="K45" s="55"/>
      <c r="L45" s="56">
        <f t="shared" si="2"/>
        <v>0</v>
      </c>
    </row>
    <row r="46" spans="1:12" ht="13.8" thickTop="1" x14ac:dyDescent="0.25">
      <c r="A46" t="s">
        <v>75</v>
      </c>
      <c r="C46" s="51"/>
      <c r="D46" s="52">
        <f>D44-D45</f>
        <v>0</v>
      </c>
      <c r="E46" s="51"/>
      <c r="F46" s="52">
        <f>F44-F45</f>
        <v>0</v>
      </c>
      <c r="G46" s="51"/>
      <c r="H46" s="52">
        <f>H44-H45</f>
        <v>0</v>
      </c>
      <c r="I46" s="51"/>
      <c r="J46" s="52">
        <f>J44-J45</f>
        <v>0</v>
      </c>
      <c r="K46" s="51"/>
      <c r="L46" s="52">
        <f t="shared" si="2"/>
        <v>0</v>
      </c>
    </row>
    <row r="47" spans="1:12" ht="13.8" thickBot="1" x14ac:dyDescent="0.3">
      <c r="A47" t="s">
        <v>76</v>
      </c>
      <c r="C47" s="55"/>
      <c r="D47" s="56">
        <v>0</v>
      </c>
      <c r="E47" s="55"/>
      <c r="F47" s="56">
        <v>0</v>
      </c>
      <c r="G47" s="55"/>
      <c r="H47" s="56">
        <v>0</v>
      </c>
      <c r="I47" s="55"/>
      <c r="J47" s="56">
        <v>0</v>
      </c>
      <c r="K47" s="55"/>
      <c r="L47" s="56">
        <f t="shared" si="2"/>
        <v>0</v>
      </c>
    </row>
    <row r="48" spans="1:12" ht="13.8" thickTop="1" x14ac:dyDescent="0.25">
      <c r="A48" t="s">
        <v>77</v>
      </c>
      <c r="D48" s="57">
        <f>D46-D47</f>
        <v>0</v>
      </c>
      <c r="F48" s="57">
        <f>F46-F47</f>
        <v>0</v>
      </c>
      <c r="H48" s="57">
        <f>H46-H47</f>
        <v>0</v>
      </c>
      <c r="J48" s="57">
        <f>J46-J47</f>
        <v>0</v>
      </c>
      <c r="L48" s="58">
        <f t="shared" si="2"/>
        <v>0</v>
      </c>
    </row>
  </sheetData>
  <mergeCells count="7">
    <mergeCell ref="N12:O12"/>
    <mergeCell ref="K12:L12"/>
    <mergeCell ref="A31:B32"/>
    <mergeCell ref="K31:L31"/>
    <mergeCell ref="C9:D9"/>
    <mergeCell ref="C10:D10"/>
    <mergeCell ref="A12:B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Fiscale Balans</vt:lpstr>
      <vt:lpstr>Overzicht activa</vt:lpstr>
      <vt:lpstr>Aangifte</vt:lpstr>
      <vt:lpstr>BTW</vt:lpstr>
      <vt:lpstr>'Fiscale Balans'!Afdrukbereik</vt:lpstr>
      <vt:lpstr>BTW_hoog</vt:lpstr>
      <vt:lpstr>BTW_laag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Verzijden</dc:creator>
  <cp:lastModifiedBy>Nico Verzijden</cp:lastModifiedBy>
  <cp:lastPrinted>2017-10-14T15:45:26Z</cp:lastPrinted>
  <dcterms:created xsi:type="dcterms:W3CDTF">2016-12-22T08:44:14Z</dcterms:created>
  <dcterms:modified xsi:type="dcterms:W3CDTF">2018-04-04T12:47:46Z</dcterms:modified>
</cp:coreProperties>
</file>